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MEKARI\Downloads\"/>
    </mc:Choice>
  </mc:AlternateContent>
  <xr:revisionPtr revIDLastSave="0" documentId="13_ncr:1_{4AE84393-914F-462D-943C-C7AFB61461F9}" xr6:coauthVersionLast="47" xr6:coauthVersionMax="47" xr10:uidLastSave="{00000000-0000-0000-0000-000000000000}"/>
  <bookViews>
    <workbookView xWindow="28680" yWindow="-120" windowWidth="29040" windowHeight="15840" activeTab="6" xr2:uid="{00000000-000D-0000-FFFF-FFFF00000000}"/>
  </bookViews>
  <sheets>
    <sheet name="Tarif PTKP " sheetId="1" r:id="rId1"/>
    <sheet name="Tarif Progresif" sheetId="2" r:id="rId2"/>
    <sheet name="Latihan 1" sheetId="3" state="hidden" r:id="rId3"/>
    <sheet name="Latihan 2" sheetId="4" state="hidden" r:id="rId4"/>
    <sheet name="Gross Up" sheetId="5" state="hidden" r:id="rId5"/>
    <sheet name="PostTest" sheetId="6" r:id="rId6"/>
    <sheet name="Cara Hitung Gaji Dan PPH2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7" l="1"/>
  <c r="B60" i="7"/>
  <c r="B59" i="7"/>
  <c r="B56" i="7"/>
  <c r="B55" i="7"/>
  <c r="B54" i="7"/>
  <c r="B53" i="7"/>
  <c r="B52" i="7"/>
  <c r="H37" i="7"/>
  <c r="B37" i="7"/>
  <c r="B33" i="7"/>
  <c r="B26" i="7"/>
  <c r="B39" i="7" s="1"/>
  <c r="B25" i="7"/>
  <c r="B38" i="7" s="1"/>
  <c r="H24" i="7"/>
  <c r="B24" i="7"/>
  <c r="B21" i="7"/>
  <c r="B20" i="7"/>
  <c r="B19" i="7"/>
  <c r="B22" i="7" s="1"/>
  <c r="B23" i="7" s="1"/>
  <c r="B17" i="7"/>
  <c r="B16" i="7"/>
  <c r="B15" i="7"/>
  <c r="B60" i="5"/>
  <c r="B59" i="5"/>
  <c r="B58" i="5"/>
  <c r="B55" i="5"/>
  <c r="B54" i="5"/>
  <c r="B53" i="5"/>
  <c r="B52" i="5"/>
  <c r="B51" i="5"/>
  <c r="B36" i="5"/>
  <c r="B33" i="5"/>
  <c r="B26" i="5"/>
  <c r="B38" i="5" s="1"/>
  <c r="B25" i="5"/>
  <c r="B37" i="5" s="1"/>
  <c r="H24" i="5"/>
  <c r="B21" i="5"/>
  <c r="B20" i="5"/>
  <c r="B19" i="5"/>
  <c r="B17" i="5"/>
  <c r="B16" i="5"/>
  <c r="B15" i="5"/>
  <c r="B33" i="4"/>
  <c r="H24" i="4"/>
  <c r="G24" i="4"/>
  <c r="B45" i="3"/>
  <c r="G36" i="3"/>
  <c r="B33" i="3"/>
  <c r="B13" i="2"/>
  <c r="F12" i="2"/>
  <c r="F13" i="2" s="1"/>
  <c r="B12" i="2"/>
  <c r="B11" i="2"/>
  <c r="B15" i="2" s="1"/>
  <c r="G24" i="7" l="1"/>
  <c r="B27" i="7"/>
  <c r="B36" i="7"/>
  <c r="B29" i="7" l="1"/>
  <c r="B30" i="7" s="1"/>
  <c r="B31" i="7" s="1"/>
  <c r="B46" i="7" s="1"/>
  <c r="B58" i="7" s="1"/>
  <c r="B62" i="7" s="1"/>
  <c r="G29" i="7"/>
  <c r="B40" i="7"/>
  <c r="B42" i="7" s="1"/>
  <c r="B43" i="7" s="1"/>
  <c r="B44" i="7" s="1"/>
  <c r="G37" i="7"/>
  <c r="B61" i="5"/>
  <c r="B57" i="5"/>
  <c r="B45" i="5"/>
  <c r="G36" i="5"/>
  <c r="B43" i="5"/>
  <c r="B35" i="5"/>
  <c r="B39" i="5"/>
  <c r="B41" i="5"/>
  <c r="B42" i="5"/>
  <c r="G24" i="5"/>
  <c r="B32" i="5"/>
  <c r="B18" i="5"/>
  <c r="B22" i="5"/>
  <c r="B23" i="5"/>
  <c r="B27" i="5"/>
  <c r="B29" i="5"/>
  <c r="B30" i="5"/>
  <c r="B31" i="5"/>
  <c r="B62" i="5"/>
</calcChain>
</file>

<file path=xl/sharedStrings.xml><?xml version="1.0" encoding="utf-8"?>
<sst xmlns="http://schemas.openxmlformats.org/spreadsheetml/2006/main" count="508" uniqueCount="180">
  <si>
    <t>Peraturan Menteri Keuangan Nomor : 101/PMK.010/2016</t>
  </si>
  <si>
    <t>Daftar Tarif Penghasilan Tidak Kena Pajak (PTKP) 2018 :</t>
  </si>
  <si>
    <t>No</t>
  </si>
  <si>
    <t>Deskripsi</t>
  </si>
  <si>
    <t>Jumlah</t>
  </si>
  <si>
    <t>Wajib Pajak</t>
  </si>
  <si>
    <t>54.000.000</t>
  </si>
  <si>
    <t>+ WP Kawin</t>
  </si>
  <si>
    <t>4.500.000</t>
  </si>
  <si>
    <t>+ Anak : maksimal 3  </t>
  </si>
  <si>
    <t>+ Penghasilan Suami/Istri Digabung</t>
  </si>
  <si>
    <t>PTKP Wajib Pajak Tidak Kawin</t>
  </si>
  <si>
    <t>Status</t>
  </si>
  <si>
    <t>Nilai</t>
  </si>
  <si>
    <t>Total</t>
  </si>
  <si>
    <t>+ Wajib Pajak</t>
  </si>
  <si>
    <t>WP</t>
  </si>
  <si>
    <t>+ Tanggungan 1</t>
  </si>
  <si>
    <t>TK/1</t>
  </si>
  <si>
    <t>58.500.000</t>
  </si>
  <si>
    <t>+ Tanggungan 2</t>
  </si>
  <si>
    <t>TK/2</t>
  </si>
  <si>
    <t>9.000.000</t>
  </si>
  <si>
    <t>63.000.000</t>
  </si>
  <si>
    <t>+ Tanggungan 3</t>
  </si>
  <si>
    <t>TK/3</t>
  </si>
  <si>
    <t>13.500.000</t>
  </si>
  <si>
    <t>67.500.000</t>
  </si>
  <si>
    <t>PTKP Wajib Pajak Kawin</t>
  </si>
  <si>
    <t>K/0</t>
  </si>
  <si>
    <t>K/1</t>
  </si>
  <si>
    <t>K/2</t>
  </si>
  <si>
    <t>K/3</t>
  </si>
  <si>
    <t>72.000.000</t>
  </si>
  <si>
    <t>Undang-Undang Nomor 36 Tahun 2008</t>
  </si>
  <si>
    <t>Tarif pph pasal 17 (progresif)</t>
  </si>
  <si>
    <t>MAX</t>
  </si>
  <si>
    <t>0-50juta</t>
  </si>
  <si>
    <t>50-250juta</t>
  </si>
  <si>
    <t>250-500juta</t>
  </si>
  <si>
    <t>&gt;500juta</t>
  </si>
  <si>
    <t>Contoh soal</t>
  </si>
  <si>
    <t>PKP</t>
  </si>
  <si>
    <t>Perhitungan:</t>
  </si>
  <si>
    <t>Kumulatif</t>
  </si>
  <si>
    <t>Kategori 1</t>
  </si>
  <si>
    <t>5% x 50,000,000</t>
  </si>
  <si>
    <t>Kategori 2</t>
  </si>
  <si>
    <t>15% x 200,000,000</t>
  </si>
  <si>
    <t>Kategori 3</t>
  </si>
  <si>
    <t>25% x 23,523,000</t>
  </si>
  <si>
    <t>Kategori 4</t>
  </si>
  <si>
    <t>PPh yearly</t>
  </si>
  <si>
    <t>5% x 50.000.000</t>
  </si>
  <si>
    <t>15%x 200.000.000</t>
  </si>
  <si>
    <t>25% x 250.000.000</t>
  </si>
  <si>
    <t>30% x 34.345.000</t>
  </si>
  <si>
    <t>15 % x 200.000.000</t>
  </si>
  <si>
    <t>25% x 150.000.000</t>
  </si>
  <si>
    <t>LATIHAN HITUNG PPH 21</t>
  </si>
  <si>
    <t xml:space="preserve">Metode: </t>
  </si>
  <si>
    <t>disetahunkan</t>
  </si>
  <si>
    <t>Tipe Pajak :</t>
  </si>
  <si>
    <t>Gross</t>
  </si>
  <si>
    <t>Tipe karyawan:</t>
  </si>
  <si>
    <t>Pegawai Tetap</t>
  </si>
  <si>
    <t>Tanggal Join</t>
  </si>
  <si>
    <t>8 bln</t>
  </si>
  <si>
    <t xml:space="preserve">Gaji Pokok </t>
  </si>
  <si>
    <t>Cut off payroll</t>
  </si>
  <si>
    <t>1-31</t>
  </si>
  <si>
    <t/>
  </si>
  <si>
    <t>Allowance Taxable</t>
  </si>
  <si>
    <t>PTKP Status</t>
  </si>
  <si>
    <t>Allowance Non-taxable</t>
  </si>
  <si>
    <t>JKK</t>
  </si>
  <si>
    <t>Deduction Taxable</t>
  </si>
  <si>
    <t>BPJS Kesehatan Number</t>
  </si>
  <si>
    <t>Yes</t>
  </si>
  <si>
    <t>Bonus</t>
  </si>
  <si>
    <t>BPJS Ketenagakerjaan Number</t>
  </si>
  <si>
    <t>UMR 2019</t>
  </si>
  <si>
    <t>Hitung Take Home Pay karyawan tersebut untuk bulan Agustus 2019</t>
  </si>
  <si>
    <t>JP Maret 2019</t>
  </si>
  <si>
    <t>Basic salary</t>
  </si>
  <si>
    <t>Allowance taxable</t>
  </si>
  <si>
    <t>Deduction taxable</t>
  </si>
  <si>
    <t>Tax allowance</t>
  </si>
  <si>
    <t>BPJS Kesehatan</t>
  </si>
  <si>
    <r>
      <t xml:space="preserve">4%*BS, min UMR, </t>
    </r>
    <r>
      <rPr>
        <sz val="11"/>
        <color rgb="FFFF0000"/>
        <rFont val="Calibri"/>
      </rPr>
      <t>max pengali 8 juta (2019), 12 juta (2020)</t>
    </r>
  </si>
  <si>
    <t>JKM</t>
  </si>
  <si>
    <t>0,3%*BS, min UMR</t>
  </si>
  <si>
    <t>tingkat*BS,min UMR</t>
  </si>
  <si>
    <t>Gross monthly</t>
  </si>
  <si>
    <t>total dari BS sampai JKK</t>
  </si>
  <si>
    <t>Gross yearly</t>
  </si>
  <si>
    <t>gross monthly * masa kerja</t>
  </si>
  <si>
    <t>position cost</t>
  </si>
  <si>
    <r>
      <t xml:space="preserve">5%* gross yearly, </t>
    </r>
    <r>
      <rPr>
        <sz val="11"/>
        <color rgb="FFFF0000"/>
        <rFont val="Calibri"/>
      </rPr>
      <t>500rb*masa kerja</t>
    </r>
  </si>
  <si>
    <t>JHT employee yearly</t>
  </si>
  <si>
    <t>2%*BS*masa kerja, min UMR</t>
  </si>
  <si>
    <t>JP employee yearly</t>
  </si>
  <si>
    <r>
      <t>1%*BS*masa kerja,</t>
    </r>
    <r>
      <rPr>
        <sz val="11"/>
        <color rgb="FFFF0000"/>
        <rFont val="Calibri"/>
      </rPr>
      <t>min UMR, max pengali 8.512.400</t>
    </r>
  </si>
  <si>
    <t>Netto yearly</t>
  </si>
  <si>
    <t>GY-PC-JHT-JP</t>
  </si>
  <si>
    <t>PTKP</t>
  </si>
  <si>
    <t>sesuai ptkp status</t>
  </si>
  <si>
    <r>
      <t xml:space="preserve">netto yearly-PTKP </t>
    </r>
    <r>
      <rPr>
        <sz val="11"/>
        <color rgb="FFFF0000"/>
        <rFont val="Calibri"/>
      </rPr>
      <t>(rounddown)</t>
    </r>
  </si>
  <si>
    <t>PKP*tarif progresif</t>
  </si>
  <si>
    <t>PPh monthly</t>
  </si>
  <si>
    <t>PPh yearly: masa kerjanya</t>
  </si>
  <si>
    <t>Bonus/THR</t>
  </si>
  <si>
    <t>Gross yearly bonus</t>
  </si>
  <si>
    <t>gross yearly+bonus</t>
  </si>
  <si>
    <t>Position cost bonus</t>
  </si>
  <si>
    <r>
      <t xml:space="preserve">5%* gross yearly bonus, </t>
    </r>
    <r>
      <rPr>
        <sz val="11"/>
        <color rgb="FFFF0000"/>
        <rFont val="Calibri"/>
      </rPr>
      <t>500rb*masa kerja</t>
    </r>
  </si>
  <si>
    <r>
      <t>1%*BS*masa kerja,</t>
    </r>
    <r>
      <rPr>
        <sz val="11"/>
        <color rgb="FFFF0000"/>
        <rFont val="Calibri"/>
      </rPr>
      <t>min UMR, max pengali 8.512.400</t>
    </r>
  </si>
  <si>
    <t>Netto yearly bonus</t>
  </si>
  <si>
    <t>gross yearly bonus-PCB-JHT-JP</t>
  </si>
  <si>
    <t>status PTKP</t>
  </si>
  <si>
    <r>
      <t xml:space="preserve">netto yearly bonus-ptkp </t>
    </r>
    <r>
      <rPr>
        <sz val="11"/>
        <rFont val="Calibri"/>
      </rPr>
      <t>(rounddown)</t>
    </r>
  </si>
  <si>
    <t>PPh yearly bonus</t>
  </si>
  <si>
    <t>PPHh 21 bonus</t>
  </si>
  <si>
    <t>PPh yearly bonus-PPh yearly</t>
  </si>
  <si>
    <t>PPh 21 total</t>
  </si>
  <si>
    <t>PPh 21 monthly+PPh21 bonus</t>
  </si>
  <si>
    <t>Take Home Pay</t>
  </si>
  <si>
    <t>THR/Bonus</t>
  </si>
  <si>
    <t>Allowance(taxable)</t>
  </si>
  <si>
    <t>Allowance(non-taxable)</t>
  </si>
  <si>
    <t>Deduction(taxable)</t>
  </si>
  <si>
    <t>deduction(non taxable)</t>
  </si>
  <si>
    <t>PPh 21</t>
  </si>
  <si>
    <t>JHT employee (1 bulan)</t>
  </si>
  <si>
    <t>2%*basic salary, Min UMR</t>
  </si>
  <si>
    <t>JP employee (1 bulan)</t>
  </si>
  <si>
    <r>
      <t xml:space="preserve">1%*basic salary, </t>
    </r>
    <r>
      <rPr>
        <sz val="11"/>
        <color rgb="FFFF0000"/>
        <rFont val="Calibri"/>
      </rPr>
      <t>max 8.512.400, min UMR</t>
    </r>
  </si>
  <si>
    <t>BPJS K</t>
  </si>
  <si>
    <r>
      <t xml:space="preserve">1%*basic salary, </t>
    </r>
    <r>
      <rPr>
        <sz val="11"/>
        <color rgb="FFFF0000"/>
        <rFont val="Calibri"/>
      </rPr>
      <t>max 8 juta (2019), 12 juta (2020)</t>
    </r>
  </si>
  <si>
    <t>21 Maret 2019</t>
  </si>
  <si>
    <t xml:space="preserve">9 bln </t>
  </si>
  <si>
    <t>21-20</t>
  </si>
  <si>
    <t>TK/0</t>
  </si>
  <si>
    <r>
      <t xml:space="preserve">4%*BS, min UMR, </t>
    </r>
    <r>
      <rPr>
        <sz val="11"/>
        <color rgb="FFFF0000"/>
        <rFont val="Calibri"/>
      </rPr>
      <t>max pengali 8 juta (2019), 12 juta (2020)</t>
    </r>
  </si>
  <si>
    <r>
      <t xml:space="preserve">5%* gross yearly, </t>
    </r>
    <r>
      <rPr>
        <sz val="11"/>
        <color rgb="FFFF0000"/>
        <rFont val="Calibri"/>
      </rPr>
      <t>500rb*masa kerja</t>
    </r>
  </si>
  <si>
    <r>
      <t>1%*BS*masa kerja,</t>
    </r>
    <r>
      <rPr>
        <sz val="11"/>
        <color rgb="FFFF0000"/>
        <rFont val="Calibri"/>
      </rPr>
      <t>min UMR, max pengali 8.512.400</t>
    </r>
  </si>
  <si>
    <r>
      <t xml:space="preserve">netto yearly-PTKP </t>
    </r>
    <r>
      <rPr>
        <sz val="11"/>
        <color rgb="FFFF0000"/>
        <rFont val="Calibri"/>
      </rPr>
      <t>(rounddown)</t>
    </r>
  </si>
  <si>
    <r>
      <t xml:space="preserve">5%* gross yearly bonus, </t>
    </r>
    <r>
      <rPr>
        <sz val="11"/>
        <color rgb="FFFF0000"/>
        <rFont val="Calibri"/>
      </rPr>
      <t>500rb*masa kerja</t>
    </r>
  </si>
  <si>
    <r>
      <t xml:space="preserve">2%*BS*masa kerja, </t>
    </r>
    <r>
      <rPr>
        <sz val="11"/>
        <color rgb="FFFF0000"/>
        <rFont val="Calibri"/>
      </rPr>
      <t>min UMR</t>
    </r>
  </si>
  <si>
    <r>
      <t>1%*BS*masa kerja,</t>
    </r>
    <r>
      <rPr>
        <sz val="11"/>
        <color rgb="FFFF0000"/>
        <rFont val="Calibri"/>
      </rPr>
      <t>min UMR, max pengali 8.512.400</t>
    </r>
  </si>
  <si>
    <r>
      <t xml:space="preserve">netto yearly bonus-PTKP </t>
    </r>
    <r>
      <rPr>
        <sz val="11"/>
        <color rgb="FFFF0000"/>
        <rFont val="Calibri"/>
      </rPr>
      <t>(rounddown)</t>
    </r>
  </si>
  <si>
    <r>
      <t xml:space="preserve">1%*basic salary, </t>
    </r>
    <r>
      <rPr>
        <sz val="11"/>
        <color rgb="FFFF0000"/>
        <rFont val="Calibri"/>
      </rPr>
      <t>max 8.512.400, min UMR</t>
    </r>
  </si>
  <si>
    <r>
      <t xml:space="preserve">1%*basic salary, </t>
    </r>
    <r>
      <rPr>
        <sz val="11"/>
        <color rgb="FFFF0000"/>
        <rFont val="Calibri"/>
      </rPr>
      <t>max 8 juta (2019), 12 juta (2020)</t>
    </r>
  </si>
  <si>
    <r>
      <t xml:space="preserve">4%*BS, min UMR, </t>
    </r>
    <r>
      <rPr>
        <sz val="11"/>
        <color rgb="FFFF0000"/>
        <rFont val="Calibri"/>
      </rPr>
      <t>max pengali 8juta</t>
    </r>
  </si>
  <si>
    <t>5%* gross yearly, 500rb*masa kerja</t>
  </si>
  <si>
    <r>
      <t xml:space="preserve">1%*BS*masa kerja,min UMR, </t>
    </r>
    <r>
      <rPr>
        <sz val="11"/>
        <color rgb="FFFF0000"/>
        <rFont val="Calibri"/>
      </rPr>
      <t>max pengali 8.512.400</t>
    </r>
  </si>
  <si>
    <r>
      <t xml:space="preserve">netto yearly-PTKP </t>
    </r>
    <r>
      <rPr>
        <sz val="11"/>
        <color rgb="FFFF0000"/>
        <rFont val="Calibri"/>
      </rPr>
      <t>(rounddown)</t>
    </r>
  </si>
  <si>
    <t>5%* gross yearly bonus, 500rb*masa kerja</t>
  </si>
  <si>
    <r>
      <t xml:space="preserve">1%*BS*masa kerja,min UMR, </t>
    </r>
    <r>
      <rPr>
        <sz val="11"/>
        <color rgb="FFFF0000"/>
        <rFont val="Calibri"/>
      </rPr>
      <t>max pengali 8.512.400</t>
    </r>
  </si>
  <si>
    <r>
      <t xml:space="preserve">netto yearly bonus-ptkp </t>
    </r>
    <r>
      <rPr>
        <sz val="11"/>
        <color rgb="FFFF0000"/>
        <rFont val="Calibri"/>
      </rPr>
      <t>(rounddown)</t>
    </r>
  </si>
  <si>
    <t>1%*basic salary, max 8.512.400, min UMR</t>
  </si>
  <si>
    <t>1%*basic salasy, max 8juta</t>
  </si>
  <si>
    <t>benefit</t>
  </si>
  <si>
    <t>Tingkat 1</t>
  </si>
  <si>
    <t>UMR 2020</t>
  </si>
  <si>
    <t>Hitung Take Home Pay karyawan tersebut untuk bulan Agustus 2020</t>
  </si>
  <si>
    <t>JP Maret 2020</t>
  </si>
  <si>
    <t>Keterangan</t>
  </si>
  <si>
    <t>Nominal</t>
  </si>
  <si>
    <t>Rumus</t>
  </si>
  <si>
    <r>
      <t xml:space="preserve">4%*BS, min UMR, </t>
    </r>
    <r>
      <rPr>
        <sz val="11"/>
        <color rgb="FFFF0000"/>
        <rFont val="Calibri"/>
      </rPr>
      <t>max pengali 8 juta (2019), 12 juta (2020)</t>
    </r>
  </si>
  <si>
    <t>Max 6jt setahun ( 500 ribu X 12 )</t>
  </si>
  <si>
    <t>1%*BS*masa kerja,min UMR, max pengali 8.939.700</t>
  </si>
  <si>
    <t>netto yearly-PTKP (rounddown)</t>
  </si>
  <si>
    <t>netto yearly bonus-ptkp (rounddown)</t>
  </si>
  <si>
    <t xml:space="preserve">Nominal </t>
  </si>
  <si>
    <r>
      <t xml:space="preserve">1%*basic salary, </t>
    </r>
    <r>
      <rPr>
        <sz val="11"/>
        <color rgb="FFFF0000"/>
        <rFont val="Calibri"/>
      </rPr>
      <t>max 8.939.700, min UMR</t>
    </r>
  </si>
  <si>
    <r>
      <t xml:space="preserve">1%*basic salary, </t>
    </r>
    <r>
      <rPr>
        <sz val="11"/>
        <color rgb="FFFF0000"/>
        <rFont val="Calibri"/>
      </rPr>
      <t>max 8 juta (2019), 12 juta (2020)</t>
    </r>
  </si>
  <si>
    <t>Take Home Pay Agustus 2020</t>
  </si>
  <si>
    <t>ALKIKASI PERHITUNGAN PAJAK PPh 21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</si>
</sst>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"/>
    <numFmt numFmtId="165" formatCode="_(* #,##0_);_(* \(#,##0\);_(* &quot;-&quot;??_);_(@_)"/>
    <numFmt numFmtId="166" formatCode="_(* #,##0_);_(* \(#,##0\);_(* &quot;-&quot;_);_(@_)"/>
  </numFmts>
  <fonts count="26">
    <font>
      <sz val="11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rgb="FF333333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7"/>
      <color theme="1"/>
      <name val="Arial"/>
    </font>
    <font>
      <sz val="7"/>
      <color rgb="FF323233"/>
      <name val="Arial"/>
    </font>
    <font>
      <sz val="11"/>
      <color rgb="FFFF0000"/>
      <name val="Calibri"/>
    </font>
    <font>
      <b/>
      <sz val="11"/>
      <color rgb="FFFF0000"/>
      <name val="Calibri"/>
    </font>
    <font>
      <b/>
      <sz val="20"/>
      <color theme="1"/>
      <name val="Calibri"/>
    </font>
    <font>
      <u/>
      <sz val="11"/>
      <color rgb="FF4479B3"/>
      <name val="Arial"/>
    </font>
    <font>
      <sz val="11"/>
      <color rgb="FF4479B3"/>
      <name val="Arial"/>
    </font>
    <font>
      <u/>
      <sz val="11"/>
      <color rgb="FF4479B3"/>
      <name val="Arial"/>
    </font>
    <font>
      <b/>
      <sz val="11"/>
      <color theme="1"/>
      <name val="Calibri"/>
    </font>
    <font>
      <b/>
      <sz val="11"/>
      <color rgb="FF000000"/>
      <name val="Roboto"/>
    </font>
    <font>
      <sz val="11"/>
      <color theme="1"/>
      <name val="Roboto"/>
    </font>
    <font>
      <sz val="11"/>
      <color theme="1"/>
      <name val="Roboto"/>
    </font>
    <font>
      <sz val="11"/>
      <color rgb="FF000000"/>
      <name val="Roboto"/>
    </font>
    <font>
      <b/>
      <sz val="12"/>
      <color rgb="FFFFFFFF"/>
      <name val="Roboto"/>
    </font>
    <font>
      <sz val="11"/>
      <color rgb="FFFF0000"/>
      <name val="Roboto"/>
    </font>
    <font>
      <b/>
      <sz val="11"/>
      <color theme="1"/>
      <name val="Roboto"/>
    </font>
    <font>
      <b/>
      <sz val="11"/>
      <color rgb="FFFFFFFF"/>
      <name val="Roboto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rgb="FF980000"/>
        <bgColor rgb="FF980000"/>
      </patternFill>
    </fill>
    <fill>
      <patternFill patternType="solid">
        <fgColor rgb="FF00B0F0"/>
        <bgColor rgb="FF00B0F0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4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6" fillId="0" borderId="0" xfId="0" applyFont="1" applyAlignment="1"/>
    <xf numFmtId="9" fontId="0" fillId="4" borderId="3" xfId="0" applyNumberFormat="1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164" fontId="0" fillId="0" borderId="0" xfId="0" applyNumberFormat="1" applyFont="1"/>
    <xf numFmtId="9" fontId="6" fillId="0" borderId="0" xfId="0" applyNumberFormat="1" applyFont="1" applyAlignment="1"/>
    <xf numFmtId="9" fontId="0" fillId="0" borderId="0" xfId="0" applyNumberFormat="1" applyFont="1"/>
    <xf numFmtId="164" fontId="1" fillId="2" borderId="4" xfId="0" applyNumberFormat="1" applyFont="1" applyFill="1" applyBorder="1"/>
    <xf numFmtId="0" fontId="0" fillId="0" borderId="0" xfId="0" applyFont="1"/>
    <xf numFmtId="165" fontId="0" fillId="0" borderId="0" xfId="0" applyNumberFormat="1" applyFont="1"/>
    <xf numFmtId="164" fontId="1" fillId="0" borderId="0" xfId="0" applyNumberFormat="1" applyFont="1"/>
    <xf numFmtId="164" fontId="0" fillId="0" borderId="0" xfId="0" applyNumberFormat="1" applyFont="1" applyAlignment="1"/>
    <xf numFmtId="164" fontId="5" fillId="0" borderId="0" xfId="0" applyNumberFormat="1" applyFont="1"/>
    <xf numFmtId="164" fontId="7" fillId="0" borderId="0" xfId="0" applyNumberFormat="1" applyFont="1"/>
    <xf numFmtId="166" fontId="5" fillId="0" borderId="0" xfId="0" applyNumberFormat="1" applyFont="1"/>
    <xf numFmtId="166" fontId="7" fillId="0" borderId="0" xfId="0" applyNumberFormat="1" applyFont="1"/>
    <xf numFmtId="0" fontId="7" fillId="0" borderId="0" xfId="0" applyFont="1"/>
    <xf numFmtId="15" fontId="5" fillId="0" borderId="0" xfId="0" applyNumberFormat="1" applyFont="1"/>
    <xf numFmtId="15" fontId="5" fillId="0" borderId="0" xfId="0" quotePrefix="1" applyNumberFormat="1" applyFont="1" applyAlignment="1">
      <alignment horizontal="right"/>
    </xf>
    <xf numFmtId="0" fontId="5" fillId="0" borderId="0" xfId="0" quotePrefix="1" applyFont="1"/>
    <xf numFmtId="0" fontId="7" fillId="0" borderId="0" xfId="0" applyFont="1" applyAlignment="1">
      <alignment horizontal="right"/>
    </xf>
    <xf numFmtId="10" fontId="7" fillId="0" borderId="0" xfId="0" applyNumberFormat="1" applyFont="1"/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5" fontId="5" fillId="0" borderId="5" xfId="0" applyNumberFormat="1" applyFont="1" applyBorder="1"/>
    <xf numFmtId="166" fontId="5" fillId="0" borderId="5" xfId="0" applyNumberFormat="1" applyFont="1" applyBorder="1"/>
    <xf numFmtId="165" fontId="5" fillId="0" borderId="6" xfId="0" applyNumberFormat="1" applyFont="1" applyBorder="1"/>
    <xf numFmtId="166" fontId="5" fillId="0" borderId="6" xfId="0" applyNumberFormat="1" applyFont="1" applyBorder="1"/>
    <xf numFmtId="165" fontId="5" fillId="0" borderId="7" xfId="0" applyNumberFormat="1" applyFont="1" applyBorder="1"/>
    <xf numFmtId="166" fontId="5" fillId="0" borderId="7" xfId="0" applyNumberFormat="1" applyFont="1" applyBorder="1"/>
    <xf numFmtId="165" fontId="5" fillId="0" borderId="3" xfId="0" applyNumberFormat="1" applyFont="1" applyBorder="1"/>
    <xf numFmtId="166" fontId="5" fillId="0" borderId="3" xfId="0" applyNumberFormat="1" applyFont="1" applyBorder="1"/>
    <xf numFmtId="165" fontId="5" fillId="0" borderId="0" xfId="0" applyNumberFormat="1" applyFont="1"/>
    <xf numFmtId="0" fontId="5" fillId="0" borderId="3" xfId="0" applyFont="1" applyBorder="1"/>
    <xf numFmtId="0" fontId="7" fillId="0" borderId="3" xfId="0" applyFont="1" applyBorder="1"/>
    <xf numFmtId="166" fontId="7" fillId="0" borderId="3" xfId="0" applyNumberFormat="1" applyFont="1" applyBorder="1"/>
    <xf numFmtId="164" fontId="5" fillId="0" borderId="3" xfId="0" applyNumberFormat="1" applyFont="1" applyBorder="1"/>
    <xf numFmtId="0" fontId="5" fillId="0" borderId="5" xfId="0" applyFont="1" applyBorder="1"/>
    <xf numFmtId="0" fontId="5" fillId="0" borderId="6" xfId="0" applyFont="1" applyBorder="1"/>
    <xf numFmtId="164" fontId="5" fillId="0" borderId="6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164" fontId="7" fillId="0" borderId="3" xfId="0" applyNumberFormat="1" applyFont="1" applyBorder="1"/>
    <xf numFmtId="0" fontId="5" fillId="5" borderId="3" xfId="0" applyFont="1" applyFill="1" applyBorder="1"/>
    <xf numFmtId="37" fontId="5" fillId="0" borderId="3" xfId="0" applyNumberFormat="1" applyFont="1" applyBorder="1"/>
    <xf numFmtId="37" fontId="7" fillId="0" borderId="3" xfId="0" applyNumberFormat="1" applyFont="1" applyBorder="1"/>
    <xf numFmtId="15" fontId="0" fillId="0" borderId="0" xfId="0" applyNumberFormat="1" applyFont="1"/>
    <xf numFmtId="166" fontId="0" fillId="0" borderId="0" xfId="0" applyNumberFormat="1" applyFont="1"/>
    <xf numFmtId="15" fontId="0" fillId="0" borderId="0" xfId="0" quotePrefix="1" applyNumberFormat="1" applyFont="1" applyAlignment="1">
      <alignment horizontal="right"/>
    </xf>
    <xf numFmtId="0" fontId="0" fillId="0" borderId="0" xfId="0" quotePrefix="1" applyFont="1"/>
    <xf numFmtId="0" fontId="0" fillId="0" borderId="0" xfId="0" applyFont="1" applyAlignment="1">
      <alignment horizontal="right"/>
    </xf>
    <xf numFmtId="166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5" fontId="0" fillId="0" borderId="5" xfId="0" applyNumberFormat="1" applyFont="1" applyBorder="1"/>
    <xf numFmtId="165" fontId="0" fillId="0" borderId="6" xfId="0" applyNumberFormat="1" applyFont="1" applyBorder="1"/>
    <xf numFmtId="165" fontId="10" fillId="0" borderId="6" xfId="0" applyNumberFormat="1" applyFont="1" applyBorder="1"/>
    <xf numFmtId="165" fontId="0" fillId="0" borderId="7" xfId="0" applyNumberFormat="1" applyFont="1" applyBorder="1"/>
    <xf numFmtId="165" fontId="0" fillId="0" borderId="3" xfId="0" applyNumberFormat="1" applyFont="1" applyBorder="1"/>
    <xf numFmtId="165" fontId="10" fillId="0" borderId="5" xfId="0" applyNumberFormat="1" applyFont="1" applyBorder="1"/>
    <xf numFmtId="166" fontId="11" fillId="0" borderId="0" xfId="0" applyNumberFormat="1" applyFont="1"/>
    <xf numFmtId="165" fontId="10" fillId="0" borderId="7" xfId="0" applyNumberFormat="1" applyFont="1" applyBorder="1"/>
    <xf numFmtId="0" fontId="0" fillId="0" borderId="3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0" fillId="5" borderId="3" xfId="0" applyFont="1" applyFill="1" applyBorder="1"/>
    <xf numFmtId="0" fontId="10" fillId="5" borderId="3" xfId="0" applyFont="1" applyFill="1" applyBorder="1"/>
    <xf numFmtId="0" fontId="10" fillId="5" borderId="11" xfId="0" applyFont="1" applyFill="1" applyBorder="1"/>
    <xf numFmtId="0" fontId="12" fillId="0" borderId="0" xfId="0" applyFont="1" applyAlignment="1"/>
    <xf numFmtId="0" fontId="13" fillId="3" borderId="0" xfId="0" applyFont="1" applyFill="1" applyAlignment="1"/>
    <xf numFmtId="0" fontId="14" fillId="3" borderId="0" xfId="0" applyFont="1" applyFill="1" applyAlignment="1"/>
    <xf numFmtId="0" fontId="15" fillId="3" borderId="0" xfId="0" applyFont="1" applyFill="1" applyAlignment="1"/>
    <xf numFmtId="0" fontId="5" fillId="0" borderId="12" xfId="0" applyFont="1" applyBorder="1"/>
    <xf numFmtId="0" fontId="5" fillId="0" borderId="13" xfId="0" applyFont="1" applyBorder="1"/>
    <xf numFmtId="0" fontId="6" fillId="0" borderId="13" xfId="0" applyFont="1" applyBorder="1"/>
    <xf numFmtId="164" fontId="0" fillId="0" borderId="13" xfId="0" applyNumberFormat="1" applyFont="1" applyBorder="1"/>
    <xf numFmtId="0" fontId="6" fillId="0" borderId="8" xfId="0" applyFont="1" applyBorder="1"/>
    <xf numFmtId="0" fontId="5" fillId="0" borderId="14" xfId="0" applyFont="1" applyBorder="1"/>
    <xf numFmtId="0" fontId="5" fillId="0" borderId="0" xfId="0" applyFont="1" applyAlignment="1">
      <alignment horizontal="left"/>
    </xf>
    <xf numFmtId="0" fontId="6" fillId="0" borderId="9" xfId="0" applyFont="1" applyBorder="1"/>
    <xf numFmtId="0" fontId="6" fillId="0" borderId="14" xfId="0" applyFont="1" applyBorder="1"/>
    <xf numFmtId="0" fontId="16" fillId="0" borderId="0" xfId="0" applyFont="1"/>
    <xf numFmtId="0" fontId="6" fillId="0" borderId="0" xfId="0" applyFont="1" applyAlignment="1">
      <alignment horizontal="left"/>
    </xf>
    <xf numFmtId="15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1" fillId="0" borderId="0" xfId="0" applyFont="1" applyAlignment="1"/>
    <xf numFmtId="164" fontId="0" fillId="0" borderId="0" xfId="0" applyNumberFormat="1" applyFont="1" applyAlignment="1">
      <alignment horizontal="right"/>
    </xf>
    <xf numFmtId="0" fontId="1" fillId="6" borderId="0" xfId="0" applyFont="1" applyFill="1" applyAlignment="1"/>
    <xf numFmtId="164" fontId="0" fillId="6" borderId="0" xfId="0" applyNumberFormat="1" applyFont="1" applyFill="1"/>
    <xf numFmtId="0" fontId="6" fillId="6" borderId="0" xfId="0" applyFont="1" applyFill="1"/>
    <xf numFmtId="164" fontId="0" fillId="0" borderId="0" xfId="0" applyNumberFormat="1" applyFont="1" applyAlignment="1">
      <alignment horizontal="right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0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15" fontId="20" fillId="0" borderId="0" xfId="0" applyNumberFormat="1" applyFont="1" applyAlignment="1"/>
    <xf numFmtId="0" fontId="17" fillId="0" borderId="0" xfId="0" applyFont="1" applyAlignment="1"/>
    <xf numFmtId="15" fontId="20" fillId="0" borderId="0" xfId="0" quotePrefix="1" applyNumberFormat="1" applyFont="1" applyAlignment="1">
      <alignment horizontal="right"/>
    </xf>
    <xf numFmtId="0" fontId="20" fillId="0" borderId="0" xfId="0" quotePrefix="1" applyFont="1"/>
    <xf numFmtId="0" fontId="20" fillId="0" borderId="0" xfId="0" applyFont="1" applyAlignment="1">
      <alignment horizontal="right"/>
    </xf>
    <xf numFmtId="10" fontId="20" fillId="0" borderId="0" xfId="0" applyNumberFormat="1" applyFont="1"/>
    <xf numFmtId="0" fontId="20" fillId="0" borderId="0" xfId="0" applyFont="1" applyAlignment="1"/>
    <xf numFmtId="164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165" fontId="21" fillId="7" borderId="0" xfId="0" applyNumberFormat="1" applyFont="1" applyFill="1" applyAlignment="1">
      <alignment horizontal="center"/>
    </xf>
    <xf numFmtId="164" fontId="21" fillId="7" borderId="3" xfId="0" applyNumberFormat="1" applyFont="1" applyFill="1" applyBorder="1" applyAlignment="1">
      <alignment horizontal="center"/>
    </xf>
    <xf numFmtId="0" fontId="21" fillId="7" borderId="3" xfId="0" applyFont="1" applyFill="1" applyBorder="1" applyAlignment="1">
      <alignment horizontal="center"/>
    </xf>
    <xf numFmtId="165" fontId="20" fillId="0" borderId="5" xfId="0" applyNumberFormat="1" applyFont="1" applyBorder="1"/>
    <xf numFmtId="164" fontId="20" fillId="0" borderId="5" xfId="0" applyNumberFormat="1" applyFont="1" applyBorder="1"/>
    <xf numFmtId="0" fontId="18" fillId="0" borderId="3" xfId="0" applyFont="1" applyBorder="1"/>
    <xf numFmtId="165" fontId="20" fillId="0" borderId="6" xfId="0" applyNumberFormat="1" applyFont="1" applyBorder="1"/>
    <xf numFmtId="164" fontId="20" fillId="0" borderId="6" xfId="0" applyNumberFormat="1" applyFont="1" applyBorder="1"/>
    <xf numFmtId="165" fontId="22" fillId="0" borderId="6" xfId="0" applyNumberFormat="1" applyFont="1" applyBorder="1"/>
    <xf numFmtId="164" fontId="22" fillId="0" borderId="6" xfId="0" applyNumberFormat="1" applyFont="1" applyBorder="1"/>
    <xf numFmtId="0" fontId="19" fillId="0" borderId="3" xfId="0" applyFont="1" applyBorder="1"/>
    <xf numFmtId="165" fontId="20" fillId="0" borderId="7" xfId="0" applyNumberFormat="1" applyFont="1" applyBorder="1"/>
    <xf numFmtId="164" fontId="20" fillId="0" borderId="7" xfId="0" applyNumberFormat="1" applyFont="1" applyBorder="1"/>
    <xf numFmtId="165" fontId="20" fillId="0" borderId="3" xfId="0" applyNumberFormat="1" applyFont="1" applyBorder="1"/>
    <xf numFmtId="164" fontId="20" fillId="0" borderId="3" xfId="0" applyNumberFormat="1" applyFont="1" applyBorder="1"/>
    <xf numFmtId="165" fontId="22" fillId="0" borderId="5" xfId="0" applyNumberFormat="1" applyFont="1" applyBorder="1"/>
    <xf numFmtId="164" fontId="22" fillId="0" borderId="5" xfId="0" applyNumberFormat="1" applyFont="1" applyBorder="1" applyAlignment="1"/>
    <xf numFmtId="166" fontId="1" fillId="0" borderId="0" xfId="0" applyNumberFormat="1" applyFont="1"/>
    <xf numFmtId="165" fontId="22" fillId="0" borderId="7" xfId="0" applyNumberFormat="1" applyFont="1" applyBorder="1"/>
    <xf numFmtId="164" fontId="22" fillId="0" borderId="7" xfId="0" applyNumberFormat="1" applyFont="1" applyBorder="1"/>
    <xf numFmtId="0" fontId="20" fillId="0" borderId="3" xfId="0" applyFont="1" applyBorder="1" applyAlignment="1"/>
    <xf numFmtId="165" fontId="19" fillId="0" borderId="0" xfId="0" applyNumberFormat="1" applyFont="1"/>
    <xf numFmtId="164" fontId="22" fillId="0" borderId="5" xfId="0" applyNumberFormat="1" applyFont="1" applyBorder="1"/>
    <xf numFmtId="0" fontId="20" fillId="0" borderId="3" xfId="0" applyFont="1" applyBorder="1"/>
    <xf numFmtId="0" fontId="17" fillId="6" borderId="3" xfId="0" applyFont="1" applyFill="1" applyBorder="1"/>
    <xf numFmtId="164" fontId="17" fillId="6" borderId="3" xfId="0" applyNumberFormat="1" applyFont="1" applyFill="1" applyBorder="1"/>
    <xf numFmtId="164" fontId="20" fillId="0" borderId="0" xfId="0" applyNumberFormat="1" applyFont="1"/>
    <xf numFmtId="0" fontId="23" fillId="0" borderId="0" xfId="0" applyFont="1"/>
    <xf numFmtId="164" fontId="17" fillId="0" borderId="0" xfId="0" applyNumberFormat="1" applyFont="1"/>
    <xf numFmtId="0" fontId="21" fillId="7" borderId="0" xfId="0" applyFont="1" applyFill="1" applyAlignment="1">
      <alignment horizontal="center"/>
    </xf>
    <xf numFmtId="0" fontId="22" fillId="0" borderId="5" xfId="0" applyFont="1" applyBorder="1"/>
    <xf numFmtId="0" fontId="5" fillId="0" borderId="0" xfId="0" applyFont="1" applyAlignment="1"/>
    <xf numFmtId="0" fontId="22" fillId="0" borderId="6" xfId="0" applyFont="1" applyBorder="1"/>
    <xf numFmtId="0" fontId="22" fillId="0" borderId="7" xfId="0" applyFont="1" applyBorder="1"/>
    <xf numFmtId="164" fontId="22" fillId="0" borderId="8" xfId="0" applyNumberFormat="1" applyFont="1" applyBorder="1"/>
    <xf numFmtId="0" fontId="19" fillId="0" borderId="6" xfId="0" applyFont="1" applyBorder="1"/>
    <xf numFmtId="164" fontId="20" fillId="0" borderId="9" xfId="0" applyNumberFormat="1" applyFont="1" applyBorder="1"/>
    <xf numFmtId="0" fontId="19" fillId="0" borderId="7" xfId="0" applyFont="1" applyBorder="1"/>
    <xf numFmtId="164" fontId="20" fillId="0" borderId="10" xfId="0" applyNumberFormat="1" applyFont="1" applyBorder="1"/>
    <xf numFmtId="0" fontId="23" fillId="6" borderId="3" xfId="0" applyFont="1" applyFill="1" applyBorder="1"/>
    <xf numFmtId="0" fontId="23" fillId="8" borderId="4" xfId="0" applyFont="1" applyFill="1" applyBorder="1"/>
    <xf numFmtId="164" fontId="17" fillId="8" borderId="4" xfId="0" applyNumberFormat="1" applyFont="1" applyFill="1" applyBorder="1"/>
    <xf numFmtId="0" fontId="24" fillId="7" borderId="0" xfId="0" applyFont="1" applyFill="1" applyAlignment="1">
      <alignment horizontal="center"/>
    </xf>
    <xf numFmtId="37" fontId="24" fillId="7" borderId="3" xfId="0" applyNumberFormat="1" applyFont="1" applyFill="1" applyBorder="1" applyAlignment="1">
      <alignment horizontal="center"/>
    </xf>
    <xf numFmtId="0" fontId="24" fillId="7" borderId="3" xfId="0" applyFont="1" applyFill="1" applyBorder="1" applyAlignment="1">
      <alignment horizontal="center"/>
    </xf>
    <xf numFmtId="0" fontId="20" fillId="5" borderId="3" xfId="0" applyFont="1" applyFill="1" applyBorder="1"/>
    <xf numFmtId="37" fontId="20" fillId="0" borderId="3" xfId="0" applyNumberFormat="1" applyFont="1" applyBorder="1"/>
    <xf numFmtId="0" fontId="22" fillId="5" borderId="3" xfId="0" applyFont="1" applyFill="1" applyBorder="1"/>
    <xf numFmtId="37" fontId="22" fillId="0" borderId="3" xfId="0" applyNumberFormat="1" applyFont="1" applyBorder="1"/>
    <xf numFmtId="0" fontId="19" fillId="0" borderId="3" xfId="0" applyFont="1" applyBorder="1" applyAlignment="1"/>
    <xf numFmtId="0" fontId="23" fillId="8" borderId="3" xfId="0" applyFont="1" applyFill="1" applyBorder="1"/>
    <xf numFmtId="37" fontId="17" fillId="8" borderId="3" xfId="0" applyNumberFormat="1" applyFont="1" applyFill="1" applyBorder="1"/>
    <xf numFmtId="0" fontId="18" fillId="0" borderId="3" xfId="0" applyFont="1" applyBorder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00"/>
  <sheetViews>
    <sheetView showGridLines="0" workbookViewId="0">
      <selection activeCell="C15" sqref="C15"/>
    </sheetView>
  </sheetViews>
  <sheetFormatPr defaultColWidth="14.42578125" defaultRowHeight="15" customHeight="1"/>
  <cols>
    <col min="1" max="1" width="35.5703125" customWidth="1"/>
    <col min="2" max="2" width="34.85546875" customWidth="1"/>
    <col min="3" max="3" width="14.7109375" customWidth="1"/>
    <col min="4" max="4" width="16" customWidth="1"/>
    <col min="5" max="6" width="8.7109375" customWidth="1"/>
  </cols>
  <sheetData>
    <row r="2" spans="1:4">
      <c r="A2" s="177" t="s">
        <v>0</v>
      </c>
      <c r="B2" s="178"/>
    </row>
    <row r="3" spans="1:4">
      <c r="A3" s="177" t="s">
        <v>1</v>
      </c>
      <c r="B3" s="178"/>
    </row>
    <row r="5" spans="1:4" ht="15.75">
      <c r="A5" s="1" t="s">
        <v>2</v>
      </c>
      <c r="B5" s="2" t="s">
        <v>3</v>
      </c>
      <c r="C5" s="1" t="s">
        <v>4</v>
      </c>
    </row>
    <row r="6" spans="1:4" ht="15.75">
      <c r="A6" s="3">
        <v>1</v>
      </c>
      <c r="B6" s="4" t="s">
        <v>5</v>
      </c>
      <c r="C6" s="5" t="s">
        <v>6</v>
      </c>
    </row>
    <row r="7" spans="1:4" ht="15.75">
      <c r="A7" s="3">
        <v>2</v>
      </c>
      <c r="B7" s="4" t="s">
        <v>7</v>
      </c>
      <c r="C7" s="5" t="s">
        <v>8</v>
      </c>
    </row>
    <row r="8" spans="1:4" ht="16.5" customHeight="1">
      <c r="A8" s="3">
        <v>3</v>
      </c>
      <c r="B8" s="4" t="s">
        <v>9</v>
      </c>
      <c r="C8" s="5" t="s">
        <v>8</v>
      </c>
    </row>
    <row r="9" spans="1:4" ht="18.75" customHeight="1">
      <c r="A9" s="3">
        <v>4</v>
      </c>
      <c r="B9" s="4" t="s">
        <v>10</v>
      </c>
      <c r="C9" s="5" t="s">
        <v>6</v>
      </c>
    </row>
    <row r="12" spans="1:4" ht="15.75">
      <c r="A12" s="6" t="s">
        <v>11</v>
      </c>
    </row>
    <row r="14" spans="1:4" ht="15.75">
      <c r="A14" s="2" t="s">
        <v>3</v>
      </c>
      <c r="B14" s="1" t="s">
        <v>12</v>
      </c>
      <c r="C14" s="1" t="s">
        <v>13</v>
      </c>
      <c r="D14" s="1" t="s">
        <v>14</v>
      </c>
    </row>
    <row r="15" spans="1:4" ht="15.75">
      <c r="A15" s="7" t="s">
        <v>15</v>
      </c>
      <c r="B15" s="8" t="s">
        <v>16</v>
      </c>
      <c r="C15" s="5" t="s">
        <v>6</v>
      </c>
      <c r="D15" s="5" t="s">
        <v>6</v>
      </c>
    </row>
    <row r="16" spans="1:4" ht="15.75">
      <c r="A16" s="7" t="s">
        <v>17</v>
      </c>
      <c r="B16" s="8" t="s">
        <v>18</v>
      </c>
      <c r="C16" s="5" t="s">
        <v>8</v>
      </c>
      <c r="D16" s="5" t="s">
        <v>19</v>
      </c>
    </row>
    <row r="17" spans="1:4" ht="15.75">
      <c r="A17" s="7" t="s">
        <v>20</v>
      </c>
      <c r="B17" s="8" t="s">
        <v>21</v>
      </c>
      <c r="C17" s="5" t="s">
        <v>22</v>
      </c>
      <c r="D17" s="5" t="s">
        <v>23</v>
      </c>
    </row>
    <row r="18" spans="1:4" ht="15.75">
      <c r="A18" s="7" t="s">
        <v>24</v>
      </c>
      <c r="B18" s="8" t="s">
        <v>25</v>
      </c>
      <c r="C18" s="5" t="s">
        <v>26</v>
      </c>
      <c r="D18" s="5" t="s">
        <v>27</v>
      </c>
    </row>
    <row r="21" spans="1:4" ht="15.75" customHeight="1">
      <c r="A21" s="6" t="s">
        <v>28</v>
      </c>
    </row>
    <row r="22" spans="1:4" ht="15.75" customHeight="1">
      <c r="A22" s="6"/>
    </row>
    <row r="23" spans="1:4" ht="15.75" customHeight="1">
      <c r="A23" s="2" t="s">
        <v>3</v>
      </c>
      <c r="B23" s="1" t="s">
        <v>12</v>
      </c>
      <c r="C23" s="1" t="s">
        <v>13</v>
      </c>
      <c r="D23" s="1" t="s">
        <v>14</v>
      </c>
    </row>
    <row r="24" spans="1:4" ht="15.75" customHeight="1">
      <c r="A24" s="7" t="s">
        <v>15</v>
      </c>
      <c r="B24" s="8" t="s">
        <v>16</v>
      </c>
      <c r="C24" s="5" t="s">
        <v>6</v>
      </c>
      <c r="D24" s="5" t="s">
        <v>6</v>
      </c>
    </row>
    <row r="25" spans="1:4" ht="15.75" customHeight="1">
      <c r="A25" s="7" t="s">
        <v>7</v>
      </c>
      <c r="B25" s="8" t="s">
        <v>29</v>
      </c>
      <c r="C25" s="5" t="s">
        <v>8</v>
      </c>
      <c r="D25" s="5" t="s">
        <v>19</v>
      </c>
    </row>
    <row r="26" spans="1:4" ht="15.75" customHeight="1">
      <c r="A26" s="7" t="s">
        <v>17</v>
      </c>
      <c r="B26" s="8" t="s">
        <v>30</v>
      </c>
      <c r="C26" s="5" t="s">
        <v>8</v>
      </c>
      <c r="D26" s="5" t="s">
        <v>23</v>
      </c>
    </row>
    <row r="27" spans="1:4" ht="15.75" customHeight="1">
      <c r="A27" s="7" t="s">
        <v>20</v>
      </c>
      <c r="B27" s="8" t="s">
        <v>31</v>
      </c>
      <c r="C27" s="5" t="s">
        <v>22</v>
      </c>
      <c r="D27" s="5" t="s">
        <v>27</v>
      </c>
    </row>
    <row r="28" spans="1:4" ht="15.75" customHeight="1">
      <c r="A28" s="7" t="s">
        <v>24</v>
      </c>
      <c r="B28" s="8" t="s">
        <v>32</v>
      </c>
      <c r="C28" s="5" t="s">
        <v>26</v>
      </c>
      <c r="D28" s="5" t="s">
        <v>33</v>
      </c>
    </row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B2"/>
    <mergeCell ref="A3:B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000"/>
  <sheetViews>
    <sheetView workbookViewId="0">
      <selection activeCell="J30" sqref="J30"/>
    </sheetView>
  </sheetViews>
  <sheetFormatPr defaultColWidth="14.42578125" defaultRowHeight="15" customHeight="1"/>
  <cols>
    <col min="1" max="1" width="35.5703125" customWidth="1"/>
    <col min="2" max="2" width="16.42578125" customWidth="1"/>
    <col min="3" max="3" width="12.140625" customWidth="1"/>
    <col min="4" max="4" width="16.140625" customWidth="1"/>
    <col min="5" max="5" width="8.7109375" customWidth="1"/>
    <col min="6" max="6" width="13.5703125" customWidth="1"/>
  </cols>
  <sheetData>
    <row r="2" spans="1:7">
      <c r="A2" s="9" t="s">
        <v>34</v>
      </c>
    </row>
    <row r="3" spans="1:7">
      <c r="A3" s="10" t="s">
        <v>35</v>
      </c>
      <c r="D3" s="11" t="s">
        <v>36</v>
      </c>
    </row>
    <row r="4" spans="1:7">
      <c r="A4" s="12">
        <v>0.05</v>
      </c>
      <c r="B4" s="13" t="s">
        <v>37</v>
      </c>
      <c r="D4" s="11">
        <v>50</v>
      </c>
    </row>
    <row r="5" spans="1:7">
      <c r="A5" s="12">
        <v>0.15</v>
      </c>
      <c r="B5" s="13" t="s">
        <v>38</v>
      </c>
      <c r="D5" s="11">
        <v>200</v>
      </c>
    </row>
    <row r="6" spans="1:7">
      <c r="A6" s="12">
        <v>0.25</v>
      </c>
      <c r="B6" s="13" t="s">
        <v>39</v>
      </c>
      <c r="C6" s="14"/>
      <c r="D6" s="11">
        <v>250</v>
      </c>
      <c r="G6" s="15"/>
    </row>
    <row r="7" spans="1:7">
      <c r="A7" s="12">
        <v>0.3</v>
      </c>
      <c r="B7" s="13" t="s">
        <v>40</v>
      </c>
      <c r="G7" s="15"/>
    </row>
    <row r="8" spans="1:7">
      <c r="A8" s="16"/>
      <c r="G8" s="15"/>
    </row>
    <row r="9" spans="1:7">
      <c r="A9" s="10" t="s">
        <v>41</v>
      </c>
    </row>
    <row r="10" spans="1:7">
      <c r="A10" s="17" t="s">
        <v>42</v>
      </c>
      <c r="B10" s="17">
        <v>273523000</v>
      </c>
      <c r="D10" s="9" t="s">
        <v>43</v>
      </c>
      <c r="E10" s="9"/>
      <c r="F10" s="9" t="s">
        <v>44</v>
      </c>
    </row>
    <row r="11" spans="1:7">
      <c r="A11" s="14" t="s">
        <v>45</v>
      </c>
      <c r="B11" s="14">
        <f>5%*50000000</f>
        <v>2500000</v>
      </c>
      <c r="D11" s="18" t="s">
        <v>46</v>
      </c>
      <c r="F11" s="19">
        <v>50000000</v>
      </c>
    </row>
    <row r="12" spans="1:7">
      <c r="A12" s="14" t="s">
        <v>47</v>
      </c>
      <c r="B12" s="14">
        <f>15%*200000000</f>
        <v>30000000</v>
      </c>
      <c r="D12" s="18" t="s">
        <v>48</v>
      </c>
      <c r="F12" s="19">
        <f>F11+200000000</f>
        <v>250000000</v>
      </c>
    </row>
    <row r="13" spans="1:7">
      <c r="A13" s="14" t="s">
        <v>49</v>
      </c>
      <c r="B13" s="14">
        <f>25%*(B10-250000000)</f>
        <v>5880750</v>
      </c>
      <c r="D13" s="18" t="s">
        <v>50</v>
      </c>
      <c r="F13" s="19">
        <f>F12+23523000</f>
        <v>273523000</v>
      </c>
    </row>
    <row r="14" spans="1:7">
      <c r="A14" s="14" t="s">
        <v>51</v>
      </c>
      <c r="B14" s="14">
        <v>0</v>
      </c>
    </row>
    <row r="15" spans="1:7">
      <c r="A15" s="20" t="s">
        <v>52</v>
      </c>
      <c r="B15" s="20">
        <f>SUM(B11:B13)</f>
        <v>38380750</v>
      </c>
    </row>
    <row r="18" spans="1:4">
      <c r="A18" s="17" t="s">
        <v>42</v>
      </c>
      <c r="B18" s="17">
        <v>534345000</v>
      </c>
    </row>
    <row r="19" spans="1:4">
      <c r="A19" s="14" t="s">
        <v>45</v>
      </c>
      <c r="B19" s="21"/>
      <c r="D19" s="11" t="s">
        <v>53</v>
      </c>
    </row>
    <row r="20" spans="1:4">
      <c r="A20" s="14" t="s">
        <v>47</v>
      </c>
      <c r="B20" s="21"/>
      <c r="D20" s="11" t="s">
        <v>54</v>
      </c>
    </row>
    <row r="21" spans="1:4" ht="15.75" customHeight="1">
      <c r="A21" s="14" t="s">
        <v>49</v>
      </c>
      <c r="B21" s="22"/>
      <c r="D21" s="11" t="s">
        <v>55</v>
      </c>
    </row>
    <row r="22" spans="1:4" ht="15.75" customHeight="1">
      <c r="A22" s="14" t="s">
        <v>51</v>
      </c>
      <c r="B22" s="22"/>
      <c r="D22" s="11" t="s">
        <v>56</v>
      </c>
    </row>
    <row r="23" spans="1:4" ht="15.75" customHeight="1">
      <c r="A23" s="20" t="s">
        <v>52</v>
      </c>
      <c r="B23" s="23"/>
      <c r="D23" s="11" t="s">
        <v>14</v>
      </c>
    </row>
    <row r="24" spans="1:4" ht="15.75" customHeight="1"/>
    <row r="25" spans="1:4" ht="15.75" customHeight="1"/>
    <row r="26" spans="1:4" ht="15.75" customHeight="1">
      <c r="A26" s="17" t="s">
        <v>42</v>
      </c>
      <c r="B26" s="17">
        <v>400000000</v>
      </c>
    </row>
    <row r="27" spans="1:4" ht="15.75" customHeight="1">
      <c r="A27" s="14" t="s">
        <v>45</v>
      </c>
      <c r="B27" s="24"/>
      <c r="D27" s="11" t="s">
        <v>53</v>
      </c>
    </row>
    <row r="28" spans="1:4" ht="15.75" customHeight="1">
      <c r="A28" s="14" t="s">
        <v>47</v>
      </c>
      <c r="B28" s="24"/>
      <c r="D28" s="11" t="s">
        <v>57</v>
      </c>
    </row>
    <row r="29" spans="1:4" ht="15.75" customHeight="1">
      <c r="A29" s="14" t="s">
        <v>49</v>
      </c>
      <c r="B29" s="24"/>
      <c r="D29" s="11" t="s">
        <v>58</v>
      </c>
    </row>
    <row r="30" spans="1:4" ht="15.75" customHeight="1">
      <c r="A30" s="14" t="s">
        <v>51</v>
      </c>
      <c r="B30" s="24"/>
    </row>
    <row r="31" spans="1:4" ht="15.75" customHeight="1">
      <c r="A31" s="20" t="s">
        <v>52</v>
      </c>
      <c r="B31" s="25"/>
    </row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1" width="26.85546875" customWidth="1"/>
    <col min="2" max="2" width="19.140625" customWidth="1"/>
    <col min="3" max="3" width="8.7109375" customWidth="1"/>
    <col min="4" max="4" width="21.85546875" customWidth="1"/>
    <col min="5" max="5" width="12.28515625" customWidth="1"/>
    <col min="6" max="6" width="9.140625" customWidth="1"/>
    <col min="7" max="8" width="15.28515625" customWidth="1"/>
    <col min="9" max="26" width="8.7109375" customWidth="1"/>
  </cols>
  <sheetData>
    <row r="1" spans="1:26">
      <c r="A1" s="26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>
      <c r="A2" s="10" t="s">
        <v>60</v>
      </c>
      <c r="B2" s="10" t="s">
        <v>61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>
      <c r="A3" s="10" t="s">
        <v>62</v>
      </c>
      <c r="B3" s="10" t="s">
        <v>63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>
      <c r="A4" s="10" t="s">
        <v>64</v>
      </c>
      <c r="B4" s="10" t="s">
        <v>65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10" t="s">
        <v>66</v>
      </c>
      <c r="B5" s="27">
        <v>43586</v>
      </c>
      <c r="C5" s="26" t="s">
        <v>67</v>
      </c>
      <c r="D5" s="10" t="s">
        <v>68</v>
      </c>
      <c r="E5" s="24">
        <v>25000000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10" t="s">
        <v>69</v>
      </c>
      <c r="B6" s="28" t="s">
        <v>70</v>
      </c>
      <c r="C6" s="29" t="s">
        <v>71</v>
      </c>
      <c r="D6" s="10" t="s">
        <v>72</v>
      </c>
      <c r="E6" s="24">
        <v>1000000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>
      <c r="A7" s="10" t="s">
        <v>73</v>
      </c>
      <c r="B7" s="30" t="s">
        <v>29</v>
      </c>
      <c r="C7" s="10"/>
      <c r="D7" s="10" t="s">
        <v>74</v>
      </c>
      <c r="E7" s="24">
        <v>750000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>
      <c r="A8" s="10" t="s">
        <v>75</v>
      </c>
      <c r="B8" s="31">
        <v>5.4000000000000003E-3</v>
      </c>
      <c r="C8" s="10"/>
      <c r="D8" s="10" t="s">
        <v>76</v>
      </c>
      <c r="E8" s="24">
        <v>125000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>
      <c r="A9" s="10" t="s">
        <v>77</v>
      </c>
      <c r="B9" s="32" t="s">
        <v>78</v>
      </c>
      <c r="C9" s="10"/>
      <c r="D9" s="10" t="s">
        <v>79</v>
      </c>
      <c r="E9" s="24">
        <v>80000000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>
      <c r="A10" s="10" t="s">
        <v>80</v>
      </c>
      <c r="B10" s="32" t="s">
        <v>78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>
      <c r="A11" s="10" t="s">
        <v>81</v>
      </c>
      <c r="B11" s="24">
        <v>3940972</v>
      </c>
      <c r="C11" s="10"/>
      <c r="D11" s="26" t="s">
        <v>82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>
      <c r="A12" s="10" t="s">
        <v>83</v>
      </c>
      <c r="B12" s="33">
        <v>8512400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>
      <c r="A13" s="10"/>
      <c r="B13" s="3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>
      <c r="A14" s="10"/>
      <c r="B14" s="3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>
      <c r="A15" s="36" t="s">
        <v>84</v>
      </c>
      <c r="B15" s="3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38" t="s">
        <v>85</v>
      </c>
      <c r="B16" s="3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38" t="s">
        <v>86</v>
      </c>
      <c r="B17" s="3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38" t="s">
        <v>87</v>
      </c>
      <c r="B18" s="3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38" t="s">
        <v>88</v>
      </c>
      <c r="B19" s="39"/>
      <c r="C19" s="10" t="s">
        <v>89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38" t="s">
        <v>90</v>
      </c>
      <c r="B20" s="39"/>
      <c r="C20" s="10" t="s">
        <v>91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40" t="s">
        <v>75</v>
      </c>
      <c r="B21" s="41"/>
      <c r="C21" s="10" t="s">
        <v>92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42" t="s">
        <v>93</v>
      </c>
      <c r="B22" s="43"/>
      <c r="C22" s="10" t="s">
        <v>94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42" t="s">
        <v>95</v>
      </c>
      <c r="B23" s="43"/>
      <c r="C23" s="10" t="s">
        <v>96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36" t="s">
        <v>97</v>
      </c>
      <c r="B24" s="37"/>
      <c r="C24" s="10" t="s">
        <v>98</v>
      </c>
      <c r="D24" s="10"/>
      <c r="E24" s="22"/>
      <c r="F24" s="10"/>
      <c r="G24" s="25"/>
      <c r="H24" s="25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38" t="s">
        <v>99</v>
      </c>
      <c r="B25" s="39"/>
      <c r="C25" s="10" t="s">
        <v>100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40" t="s">
        <v>101</v>
      </c>
      <c r="B26" s="41"/>
      <c r="C26" s="10" t="s">
        <v>102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42" t="s">
        <v>103</v>
      </c>
      <c r="B27" s="43"/>
      <c r="C27" s="10" t="s">
        <v>104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44" t="s">
        <v>105</v>
      </c>
      <c r="B28" s="37"/>
      <c r="C28" s="10" t="s">
        <v>106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44" t="s">
        <v>42</v>
      </c>
      <c r="B29" s="41"/>
      <c r="C29" s="10" t="s">
        <v>107</v>
      </c>
      <c r="D29" s="10"/>
      <c r="E29" s="10"/>
      <c r="F29" s="10"/>
      <c r="G29" s="25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45" t="s">
        <v>52</v>
      </c>
      <c r="B30" s="43"/>
      <c r="C30" s="10" t="s">
        <v>108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46" t="s">
        <v>109</v>
      </c>
      <c r="B31" s="47"/>
      <c r="C31" s="10" t="s">
        <v>110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10"/>
      <c r="B32" s="2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10" t="s">
        <v>111</v>
      </c>
      <c r="B33" s="24">
        <f>E9</f>
        <v>80000000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10"/>
      <c r="B34" s="2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45" t="s">
        <v>112</v>
      </c>
      <c r="B35" s="48"/>
      <c r="C35" s="24" t="s">
        <v>113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49" t="s">
        <v>114</v>
      </c>
      <c r="B36" s="37"/>
      <c r="C36" s="10" t="s">
        <v>115</v>
      </c>
      <c r="D36" s="10"/>
      <c r="E36" s="10"/>
      <c r="F36" s="10"/>
      <c r="G36" s="23">
        <f>5%*B35</f>
        <v>0</v>
      </c>
      <c r="H36" s="25">
        <v>5000000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50" t="s">
        <v>99</v>
      </c>
      <c r="B37" s="51"/>
      <c r="C37" s="10" t="s">
        <v>100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52" t="s">
        <v>101</v>
      </c>
      <c r="B38" s="53"/>
      <c r="C38" s="10" t="s">
        <v>116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45" t="s">
        <v>117</v>
      </c>
      <c r="B39" s="48"/>
      <c r="C39" s="24" t="s">
        <v>118</v>
      </c>
      <c r="D39" s="10"/>
      <c r="E39" s="10"/>
      <c r="F39" s="10"/>
      <c r="G39" s="24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49" t="s">
        <v>105</v>
      </c>
      <c r="B40" s="54"/>
      <c r="C40" s="24" t="s">
        <v>119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50" t="s">
        <v>42</v>
      </c>
      <c r="B41" s="55"/>
      <c r="C41" s="24" t="s">
        <v>120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52" t="s">
        <v>121</v>
      </c>
      <c r="B42" s="56"/>
      <c r="C42" s="24" t="s">
        <v>108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46" t="s">
        <v>122</v>
      </c>
      <c r="B43" s="57"/>
      <c r="C43" s="24" t="s">
        <v>123</v>
      </c>
      <c r="D43" s="10"/>
      <c r="E43" s="10"/>
      <c r="F43" s="10"/>
      <c r="G43" s="22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26"/>
      <c r="B44" s="23"/>
      <c r="C44" s="24"/>
      <c r="D44" s="10"/>
      <c r="E44" s="10"/>
      <c r="F44" s="10"/>
      <c r="G44" s="22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26" t="s">
        <v>124</v>
      </c>
      <c r="B45" s="23">
        <f>B31+B43</f>
        <v>0</v>
      </c>
      <c r="C45" s="25" t="s">
        <v>125</v>
      </c>
      <c r="D45" s="26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26" t="s">
        <v>126</v>
      </c>
      <c r="B49" s="2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0"/>
      <c r="B50" s="2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58" t="s">
        <v>84</v>
      </c>
      <c r="B51" s="5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58" t="s">
        <v>127</v>
      </c>
      <c r="B52" s="5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58" t="s">
        <v>128</v>
      </c>
      <c r="B53" s="5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58" t="s">
        <v>129</v>
      </c>
      <c r="B54" s="5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58" t="s">
        <v>130</v>
      </c>
      <c r="B55" s="5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58" t="s">
        <v>131</v>
      </c>
      <c r="B56" s="5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58" t="s">
        <v>132</v>
      </c>
      <c r="B57" s="5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58" t="s">
        <v>133</v>
      </c>
      <c r="B58" s="59"/>
      <c r="C58" s="10" t="s">
        <v>134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58" t="s">
        <v>135</v>
      </c>
      <c r="B59" s="59"/>
      <c r="C59" s="10" t="s">
        <v>136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58" t="s">
        <v>137</v>
      </c>
      <c r="B60" s="59"/>
      <c r="C60" s="10" t="s">
        <v>138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46" t="s">
        <v>126</v>
      </c>
      <c r="B61" s="6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/>
  <cols>
    <col min="1" max="1" width="26.85546875" customWidth="1"/>
    <col min="2" max="2" width="19.140625" customWidth="1"/>
    <col min="3" max="3" width="8.7109375" customWidth="1"/>
    <col min="4" max="4" width="21.85546875" customWidth="1"/>
    <col min="5" max="5" width="12.28515625" customWidth="1"/>
    <col min="6" max="6" width="9.140625" customWidth="1"/>
    <col min="7" max="8" width="15.28515625" customWidth="1"/>
    <col min="9" max="26" width="8.7109375" customWidth="1"/>
  </cols>
  <sheetData>
    <row r="1" spans="1:26">
      <c r="A1" s="26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>
      <c r="A2" s="10" t="s">
        <v>60</v>
      </c>
      <c r="B2" s="10" t="s">
        <v>61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>
      <c r="A3" s="10" t="s">
        <v>62</v>
      </c>
      <c r="B3" s="10" t="s">
        <v>63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>
      <c r="A4" s="10" t="s">
        <v>64</v>
      </c>
      <c r="B4" s="10" t="s">
        <v>65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10" t="s">
        <v>66</v>
      </c>
      <c r="B5" s="27" t="s">
        <v>139</v>
      </c>
      <c r="C5" s="26" t="s">
        <v>140</v>
      </c>
      <c r="D5" s="10" t="s">
        <v>68</v>
      </c>
      <c r="E5" s="24">
        <v>17000000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10" t="s">
        <v>69</v>
      </c>
      <c r="B6" s="28" t="s">
        <v>141</v>
      </c>
      <c r="C6" s="29" t="s">
        <v>71</v>
      </c>
      <c r="D6" s="10" t="s">
        <v>72</v>
      </c>
      <c r="E6" s="24">
        <v>250000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>
      <c r="A7" s="10" t="s">
        <v>73</v>
      </c>
      <c r="B7" s="30" t="s">
        <v>142</v>
      </c>
      <c r="C7" s="10"/>
      <c r="D7" s="10" t="s">
        <v>74</v>
      </c>
      <c r="E7" s="24">
        <v>750000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>
      <c r="A8" s="10" t="s">
        <v>75</v>
      </c>
      <c r="B8" s="31">
        <v>8.8999999999999999E-3</v>
      </c>
      <c r="C8" s="10"/>
      <c r="D8" s="10" t="s">
        <v>76</v>
      </c>
      <c r="E8" s="24">
        <v>275000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>
      <c r="A9" s="10" t="s">
        <v>77</v>
      </c>
      <c r="B9" s="32" t="s">
        <v>78</v>
      </c>
      <c r="C9" s="10"/>
      <c r="D9" s="10" t="s">
        <v>79</v>
      </c>
      <c r="E9" s="24">
        <v>80000000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>
      <c r="A10" s="10" t="s">
        <v>80</v>
      </c>
      <c r="B10" s="32" t="s">
        <v>78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>
      <c r="A11" s="10" t="s">
        <v>81</v>
      </c>
      <c r="B11" s="24">
        <v>3940972</v>
      </c>
      <c r="C11" s="10"/>
      <c r="D11" s="26" t="s">
        <v>82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>
      <c r="A12" s="10" t="s">
        <v>83</v>
      </c>
      <c r="B12" s="33">
        <v>8512400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>
      <c r="A13" s="10"/>
      <c r="B13" s="3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>
      <c r="A14" s="10"/>
      <c r="B14" s="3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>
      <c r="A15" s="36" t="s">
        <v>84</v>
      </c>
      <c r="B15" s="3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38" t="s">
        <v>85</v>
      </c>
      <c r="B16" s="3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38" t="s">
        <v>86</v>
      </c>
      <c r="B17" s="3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38" t="s">
        <v>87</v>
      </c>
      <c r="B18" s="3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38" t="s">
        <v>88</v>
      </c>
      <c r="B19" s="39"/>
      <c r="C19" s="10" t="s">
        <v>143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38" t="s">
        <v>90</v>
      </c>
      <c r="B20" s="39"/>
      <c r="C20" s="10" t="s">
        <v>91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40" t="s">
        <v>75</v>
      </c>
      <c r="B21" s="41"/>
      <c r="C21" s="10" t="s">
        <v>92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42" t="s">
        <v>93</v>
      </c>
      <c r="B22" s="43"/>
      <c r="C22" s="10" t="s">
        <v>94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42" t="s">
        <v>95</v>
      </c>
      <c r="B23" s="43"/>
      <c r="C23" s="10" t="s">
        <v>96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36" t="s">
        <v>97</v>
      </c>
      <c r="B24" s="37"/>
      <c r="C24" s="10" t="s">
        <v>144</v>
      </c>
      <c r="D24" s="10"/>
      <c r="E24" s="22"/>
      <c r="F24" s="10"/>
      <c r="G24" s="25">
        <f>5%*B23</f>
        <v>0</v>
      </c>
      <c r="H24" s="25">
        <f>500000*9</f>
        <v>4500000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38" t="s">
        <v>99</v>
      </c>
      <c r="B25" s="39"/>
      <c r="C25" s="10" t="s">
        <v>100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40" t="s">
        <v>101</v>
      </c>
      <c r="B26" s="41"/>
      <c r="C26" s="10" t="s">
        <v>145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42" t="s">
        <v>103</v>
      </c>
      <c r="B27" s="43"/>
      <c r="C27" s="10" t="s">
        <v>104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44" t="s">
        <v>105</v>
      </c>
      <c r="B28" s="37"/>
      <c r="C28" s="10" t="s">
        <v>106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44" t="s">
        <v>42</v>
      </c>
      <c r="B29" s="41"/>
      <c r="C29" s="10" t="s">
        <v>146</v>
      </c>
      <c r="D29" s="10"/>
      <c r="E29" s="10"/>
      <c r="F29" s="10"/>
      <c r="G29" s="25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45" t="s">
        <v>52</v>
      </c>
      <c r="B30" s="43"/>
      <c r="C30" s="10" t="s">
        <v>108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46" t="s">
        <v>109</v>
      </c>
      <c r="B31" s="47"/>
      <c r="C31" s="10" t="s">
        <v>110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10"/>
      <c r="B32" s="2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10" t="s">
        <v>111</v>
      </c>
      <c r="B33" s="24">
        <f>E9</f>
        <v>80000000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10"/>
      <c r="B34" s="2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45" t="s">
        <v>112</v>
      </c>
      <c r="B35" s="48"/>
      <c r="C35" s="24" t="s">
        <v>113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49" t="s">
        <v>114</v>
      </c>
      <c r="B36" s="37"/>
      <c r="C36" s="10" t="s">
        <v>147</v>
      </c>
      <c r="D36" s="10"/>
      <c r="E36" s="10"/>
      <c r="F36" s="10"/>
      <c r="G36" s="23"/>
      <c r="H36" s="25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50" t="s">
        <v>99</v>
      </c>
      <c r="B37" s="51"/>
      <c r="C37" s="10" t="s">
        <v>148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52" t="s">
        <v>101</v>
      </c>
      <c r="B38" s="53"/>
      <c r="C38" s="10" t="s">
        <v>149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45" t="s">
        <v>117</v>
      </c>
      <c r="B39" s="48"/>
      <c r="C39" s="24" t="s">
        <v>118</v>
      </c>
      <c r="D39" s="10"/>
      <c r="E39" s="10"/>
      <c r="F39" s="10"/>
      <c r="G39" s="24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49" t="s">
        <v>105</v>
      </c>
      <c r="B40" s="54"/>
      <c r="C40" s="24" t="s">
        <v>119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50" t="s">
        <v>42</v>
      </c>
      <c r="B41" s="55"/>
      <c r="C41" s="10" t="s">
        <v>150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52" t="s">
        <v>121</v>
      </c>
      <c r="B42" s="56"/>
      <c r="C42" s="24" t="s">
        <v>108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46" t="s">
        <v>122</v>
      </c>
      <c r="B43" s="57"/>
      <c r="C43" s="24" t="s">
        <v>123</v>
      </c>
      <c r="D43" s="10"/>
      <c r="E43" s="10"/>
      <c r="F43" s="10"/>
      <c r="G43" s="22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26"/>
      <c r="B44" s="23"/>
      <c r="C44" s="24"/>
      <c r="D44" s="10"/>
      <c r="E44" s="10"/>
      <c r="F44" s="10"/>
      <c r="G44" s="22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26" t="s">
        <v>124</v>
      </c>
      <c r="B45" s="23"/>
      <c r="C45" s="25" t="s">
        <v>125</v>
      </c>
      <c r="D45" s="26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26" t="s">
        <v>126</v>
      </c>
      <c r="B49" s="2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0"/>
      <c r="B50" s="2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58" t="s">
        <v>84</v>
      </c>
      <c r="B51" s="5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58" t="s">
        <v>127</v>
      </c>
      <c r="B52" s="5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58" t="s">
        <v>128</v>
      </c>
      <c r="B53" s="5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58" t="s">
        <v>129</v>
      </c>
      <c r="B54" s="5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58" t="s">
        <v>130</v>
      </c>
      <c r="B55" s="5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58" t="s">
        <v>131</v>
      </c>
      <c r="B56" s="5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58" t="s">
        <v>132</v>
      </c>
      <c r="B57" s="5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58" t="s">
        <v>133</v>
      </c>
      <c r="B58" s="59"/>
      <c r="C58" s="10" t="s">
        <v>134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58" t="s">
        <v>135</v>
      </c>
      <c r="B59" s="59"/>
      <c r="C59" s="10" t="s">
        <v>151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58" t="s">
        <v>137</v>
      </c>
      <c r="B60" s="59"/>
      <c r="C60" s="10" t="s">
        <v>152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46" t="s">
        <v>126</v>
      </c>
      <c r="B61" s="6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/>
  <cols>
    <col min="1" max="1" width="26.85546875" customWidth="1"/>
    <col min="2" max="2" width="19.140625" customWidth="1"/>
    <col min="3" max="3" width="8.7109375" customWidth="1"/>
    <col min="4" max="4" width="21.85546875" customWidth="1"/>
    <col min="5" max="5" width="12.28515625" customWidth="1"/>
    <col min="6" max="6" width="9.140625" customWidth="1"/>
    <col min="7" max="8" width="15.28515625" customWidth="1"/>
    <col min="9" max="26" width="8.7109375" customWidth="1"/>
  </cols>
  <sheetData>
    <row r="1" spans="1:26">
      <c r="A1" s="26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>
      <c r="A2" s="18" t="s">
        <v>60</v>
      </c>
      <c r="B2" s="18" t="s">
        <v>61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>
      <c r="A3" s="18" t="s">
        <v>62</v>
      </c>
      <c r="B3" s="10" t="s">
        <v>63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>
      <c r="A4" s="18" t="s">
        <v>64</v>
      </c>
      <c r="B4" s="10" t="s">
        <v>65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>
      <c r="A5" s="18" t="s">
        <v>66</v>
      </c>
      <c r="B5" s="61" t="s">
        <v>139</v>
      </c>
      <c r="C5" s="26" t="s">
        <v>140</v>
      </c>
      <c r="D5" s="18" t="s">
        <v>68</v>
      </c>
      <c r="E5" s="62">
        <v>17000000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>
      <c r="A6" s="18" t="s">
        <v>69</v>
      </c>
      <c r="B6" s="63" t="s">
        <v>141</v>
      </c>
      <c r="C6" s="64" t="s">
        <v>71</v>
      </c>
      <c r="D6" s="18" t="s">
        <v>72</v>
      </c>
      <c r="E6" s="62">
        <v>250000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>
      <c r="A7" s="18" t="s">
        <v>73</v>
      </c>
      <c r="B7" s="30" t="s">
        <v>142</v>
      </c>
      <c r="C7" s="18"/>
      <c r="D7" s="18" t="s">
        <v>74</v>
      </c>
      <c r="E7" s="62">
        <v>750000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>
      <c r="A8" s="18" t="s">
        <v>75</v>
      </c>
      <c r="B8" s="31">
        <v>8.8999999999999999E-3</v>
      </c>
      <c r="C8" s="18"/>
      <c r="D8" s="18" t="s">
        <v>76</v>
      </c>
      <c r="E8" s="62">
        <v>275000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18" t="s">
        <v>77</v>
      </c>
      <c r="B9" s="65" t="s">
        <v>78</v>
      </c>
      <c r="C9" s="18"/>
      <c r="D9" s="18" t="s">
        <v>79</v>
      </c>
      <c r="E9" s="62">
        <v>80000000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18" t="s">
        <v>80</v>
      </c>
      <c r="B10" s="65" t="s">
        <v>78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18" t="s">
        <v>81</v>
      </c>
      <c r="B11" s="62">
        <v>3940972</v>
      </c>
      <c r="C11" s="18"/>
      <c r="D11" s="26" t="s">
        <v>82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18" t="s">
        <v>83</v>
      </c>
      <c r="B12" s="66">
        <v>8512400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18"/>
      <c r="B13" s="6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>
      <c r="A14" s="18"/>
      <c r="B14" s="6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69" t="s">
        <v>84</v>
      </c>
      <c r="B15" s="37">
        <f t="shared" ref="B15:B16" si="0">E5</f>
        <v>17000000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70" t="s">
        <v>85</v>
      </c>
      <c r="B16" s="39">
        <f t="shared" si="0"/>
        <v>250000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71" t="s">
        <v>86</v>
      </c>
      <c r="B17" s="39">
        <f>-E8</f>
        <v>-275000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70" t="s">
        <v>87</v>
      </c>
      <c r="B18" s="39" t="str">
        <f ca="1">B31</f>
        <v>#REF!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70" t="s">
        <v>88</v>
      </c>
      <c r="B19" s="39">
        <f>4%*8000000</f>
        <v>320000</v>
      </c>
      <c r="C19" s="18" t="s">
        <v>153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70" t="s">
        <v>90</v>
      </c>
      <c r="B20" s="39">
        <f>0.3%*B15</f>
        <v>51000</v>
      </c>
      <c r="C20" s="18" t="s">
        <v>91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>
      <c r="A21" s="72" t="s">
        <v>75</v>
      </c>
      <c r="B21" s="41">
        <f>B8*B15</f>
        <v>151300</v>
      </c>
      <c r="C21" s="18" t="s">
        <v>92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>
      <c r="A22" s="73" t="s">
        <v>93</v>
      </c>
      <c r="B22" s="43" t="str">
        <f ca="1">SUM(B15:B21)</f>
        <v>#REF!</v>
      </c>
      <c r="C22" s="18" t="s">
        <v>94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>
      <c r="A23" s="73" t="s">
        <v>95</v>
      </c>
      <c r="B23" s="43" t="str">
        <f ca="1">B22*9</f>
        <v>#REF!</v>
      </c>
      <c r="C23" s="18" t="s">
        <v>96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>
      <c r="A24" s="74" t="s">
        <v>97</v>
      </c>
      <c r="B24" s="37">
        <v>4500000</v>
      </c>
      <c r="C24" s="18" t="s">
        <v>154</v>
      </c>
      <c r="D24" s="18"/>
      <c r="E24" s="14"/>
      <c r="F24" s="18"/>
      <c r="G24" s="25" t="str">
        <f ca="1">5%*B23</f>
        <v>#REF!</v>
      </c>
      <c r="H24" s="75">
        <f>500000*9</f>
        <v>4500000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>
      <c r="A25" s="71" t="s">
        <v>99</v>
      </c>
      <c r="B25" s="39">
        <f>2%*B15*9</f>
        <v>3060000</v>
      </c>
      <c r="C25" s="18" t="s">
        <v>100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>
      <c r="A26" s="76" t="s">
        <v>101</v>
      </c>
      <c r="B26" s="41">
        <f>1%*9*B12</f>
        <v>766116</v>
      </c>
      <c r="C26" s="18" t="s">
        <v>155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>
      <c r="A27" s="73" t="s">
        <v>103</v>
      </c>
      <c r="B27" s="43" t="str">
        <f ca="1">B23-B24-B25-B26</f>
        <v>#REF!</v>
      </c>
      <c r="C27" s="18" t="s">
        <v>104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>
      <c r="A28" s="44" t="s">
        <v>105</v>
      </c>
      <c r="B28" s="37">
        <v>54000000</v>
      </c>
      <c r="C28" s="18" t="s">
        <v>106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>
      <c r="A29" s="44" t="s">
        <v>42</v>
      </c>
      <c r="B29" s="41" t="str">
        <f ca="1">ROUNDDOWN(B27-B28,-3)</f>
        <v>#REF!</v>
      </c>
      <c r="C29" s="18" t="s">
        <v>156</v>
      </c>
      <c r="D29" s="18"/>
      <c r="E29" s="18"/>
      <c r="F29" s="18"/>
      <c r="G29" s="25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>
      <c r="A30" s="77" t="s">
        <v>52</v>
      </c>
      <c r="B30" s="43" t="str">
        <f ca="1">(5%*50000000)+(15%*(B29-50000000))</f>
        <v>#REF!</v>
      </c>
      <c r="C30" s="18" t="s">
        <v>108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>
      <c r="A31" s="46" t="s">
        <v>109</v>
      </c>
      <c r="B31" s="47" t="str">
        <f ca="1">B30/9</f>
        <v>#REF!</v>
      </c>
      <c r="C31" s="18" t="s">
        <v>110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>
      <c r="A32" s="10"/>
      <c r="B32" s="24" t="str">
        <f ca="1">B31-B18</f>
        <v>#REF!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>
      <c r="A33" s="10" t="s">
        <v>111</v>
      </c>
      <c r="B33" s="24">
        <f>E9</f>
        <v>80000000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>
      <c r="A34" s="10"/>
      <c r="B34" s="2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>
      <c r="A35" s="45" t="s">
        <v>112</v>
      </c>
      <c r="B35" s="48" t="str">
        <f ca="1">B33+B23</f>
        <v>#REF!</v>
      </c>
      <c r="C35" s="62" t="s">
        <v>113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>
      <c r="A36" s="78" t="s">
        <v>114</v>
      </c>
      <c r="B36" s="37">
        <f t="shared" ref="B36:B38" si="1">B24</f>
        <v>4500000</v>
      </c>
      <c r="C36" s="18" t="s">
        <v>157</v>
      </c>
      <c r="D36" s="18"/>
      <c r="E36" s="18"/>
      <c r="F36" s="18"/>
      <c r="G36" s="23" t="str">
        <f ca="1">5%*B35</f>
        <v>#REF!</v>
      </c>
      <c r="H36" s="75">
        <v>4500000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>
      <c r="A37" s="79" t="s">
        <v>99</v>
      </c>
      <c r="B37" s="51">
        <f t="shared" si="1"/>
        <v>3060000</v>
      </c>
      <c r="C37" s="18" t="s">
        <v>100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>
      <c r="A38" s="80" t="s">
        <v>101</v>
      </c>
      <c r="B38" s="53">
        <f t="shared" si="1"/>
        <v>766116</v>
      </c>
      <c r="C38" s="18" t="s">
        <v>158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>
      <c r="A39" s="45" t="s">
        <v>117</v>
      </c>
      <c r="B39" s="48" t="str">
        <f ca="1">B35-B36-B37-B38</f>
        <v>#REF!</v>
      </c>
      <c r="C39" s="62" t="s">
        <v>118</v>
      </c>
      <c r="D39" s="18"/>
      <c r="E39" s="18"/>
      <c r="F39" s="18"/>
      <c r="G39" s="62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>
      <c r="A40" s="78" t="s">
        <v>105</v>
      </c>
      <c r="B40" s="54">
        <v>54000000</v>
      </c>
      <c r="C40" s="62" t="s">
        <v>119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>
      <c r="A41" s="50" t="s">
        <v>42</v>
      </c>
      <c r="B41" s="55" t="str">
        <f ca="1">ROUNDDOWN(B39-B40,-3)</f>
        <v>#REF!</v>
      </c>
      <c r="C41" s="62" t="s">
        <v>159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>
      <c r="A42" s="52" t="s">
        <v>121</v>
      </c>
      <c r="B42" s="56" t="str">
        <f ca="1">(5%*50000000)+(15%*(B41-50000000))</f>
        <v>#REF!</v>
      </c>
      <c r="C42" s="62" t="s">
        <v>108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>
      <c r="A43" s="46" t="s">
        <v>122</v>
      </c>
      <c r="B43" s="57" t="str">
        <f ca="1">B42-B30</f>
        <v>#REF!</v>
      </c>
      <c r="C43" s="62" t="s">
        <v>123</v>
      </c>
      <c r="D43" s="18"/>
      <c r="E43" s="18"/>
      <c r="F43" s="18"/>
      <c r="G43" s="14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>
      <c r="A44" s="26"/>
      <c r="B44" s="23"/>
      <c r="C44" s="62"/>
      <c r="D44" s="18"/>
      <c r="E44" s="18"/>
      <c r="F44" s="18"/>
      <c r="G44" s="14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>
      <c r="A45" s="26" t="s">
        <v>124</v>
      </c>
      <c r="B45" s="23" t="str">
        <f ca="1">B31+B43</f>
        <v>#REF!</v>
      </c>
      <c r="C45" s="25" t="s">
        <v>125</v>
      </c>
      <c r="D45" s="2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>
      <c r="A46" s="18"/>
      <c r="B46" s="1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>
      <c r="A47" s="18"/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>
      <c r="A48" s="18"/>
      <c r="B48" s="1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>
      <c r="A49" s="26" t="s">
        <v>126</v>
      </c>
      <c r="B49" s="2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>
      <c r="A50" s="18"/>
      <c r="B50" s="2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>
      <c r="A51" s="81" t="s">
        <v>84</v>
      </c>
      <c r="B51" s="59">
        <f>E5</f>
        <v>17000000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>
      <c r="A52" s="81" t="s">
        <v>127</v>
      </c>
      <c r="B52" s="59">
        <f>E9</f>
        <v>80000000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>
      <c r="A53" s="81" t="s">
        <v>128</v>
      </c>
      <c r="B53" s="59">
        <f t="shared" ref="B53:B54" si="2">E6</f>
        <v>250000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>
      <c r="A54" s="81" t="s">
        <v>129</v>
      </c>
      <c r="B54" s="59">
        <f t="shared" si="2"/>
        <v>750000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>
      <c r="A55" s="82" t="s">
        <v>130</v>
      </c>
      <c r="B55" s="59">
        <f>-E8</f>
        <v>-275000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>
      <c r="A56" s="82" t="s">
        <v>131</v>
      </c>
      <c r="B56" s="59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>
      <c r="A57" s="82" t="s">
        <v>132</v>
      </c>
      <c r="B57" s="59" t="str">
        <f ca="1">-B45</f>
        <v>#REF!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>
      <c r="A58" s="82" t="s">
        <v>133</v>
      </c>
      <c r="B58" s="59">
        <f>-2%*B51</f>
        <v>-340000</v>
      </c>
      <c r="C58" s="18" t="s">
        <v>134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>
      <c r="A59" s="82" t="s">
        <v>135</v>
      </c>
      <c r="B59" s="59">
        <f>-1%*B12</f>
        <v>-85124</v>
      </c>
      <c r="C59" s="18" t="s">
        <v>160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>
      <c r="A60" s="82" t="s">
        <v>137</v>
      </c>
      <c r="B60" s="59">
        <f>-1%*8000000</f>
        <v>-80000</v>
      </c>
      <c r="C60" s="18" t="s">
        <v>161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>
      <c r="A61" s="46" t="s">
        <v>126</v>
      </c>
      <c r="B61" s="60" t="str">
        <f ca="1">SUM(B51:B60)</f>
        <v>#REF!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>
      <c r="A62" s="83" t="s">
        <v>162</v>
      </c>
      <c r="B62" s="62" t="str">
        <f ca="1">B31</f>
        <v>#REF!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11"/>
  <sheetViews>
    <sheetView showGridLines="0" workbookViewId="0">
      <selection activeCell="C3" sqref="C3:G9"/>
    </sheetView>
  </sheetViews>
  <sheetFormatPr defaultColWidth="14.42578125" defaultRowHeight="15" customHeight="1"/>
  <cols>
    <col min="1" max="2" width="5.140625" customWidth="1"/>
    <col min="3" max="3" width="27.28515625" customWidth="1"/>
    <col min="4" max="4" width="12.28515625" customWidth="1"/>
    <col min="5" max="5" width="13.7109375" customWidth="1"/>
    <col min="6" max="6" width="22.42578125" customWidth="1"/>
    <col min="7" max="7" width="19" customWidth="1"/>
    <col min="8" max="9" width="8.7109375" customWidth="1"/>
    <col min="10" max="11" width="5.140625" customWidth="1"/>
  </cols>
  <sheetData>
    <row r="1" spans="1:10">
      <c r="A1" s="10"/>
      <c r="B1" s="10"/>
      <c r="C1" s="10"/>
      <c r="D1" s="10"/>
      <c r="G1" s="14"/>
    </row>
    <row r="2" spans="1:10">
      <c r="A2" s="10"/>
      <c r="B2" s="10"/>
      <c r="C2" s="10"/>
      <c r="D2" s="10"/>
      <c r="G2" s="14"/>
    </row>
    <row r="3" spans="1:10" ht="26.25">
      <c r="A3" s="10"/>
      <c r="B3" s="10"/>
      <c r="C3" s="84"/>
      <c r="D3" s="10"/>
      <c r="G3" s="14"/>
    </row>
    <row r="4" spans="1:10">
      <c r="A4" s="10"/>
      <c r="B4" s="10"/>
      <c r="C4" s="85"/>
      <c r="D4" s="10"/>
      <c r="G4" s="14"/>
    </row>
    <row r="5" spans="1:10">
      <c r="A5" s="10"/>
      <c r="B5" s="10"/>
      <c r="C5" s="86"/>
      <c r="D5" s="10"/>
      <c r="G5" s="14"/>
    </row>
    <row r="6" spans="1:10">
      <c r="A6" s="10"/>
      <c r="B6" s="10"/>
      <c r="C6" s="86"/>
      <c r="D6" s="10"/>
      <c r="G6" s="14"/>
    </row>
    <row r="7" spans="1:10">
      <c r="A7" s="10"/>
      <c r="B7" s="10"/>
      <c r="C7" s="86"/>
      <c r="D7" s="10"/>
      <c r="G7" s="14"/>
    </row>
    <row r="8" spans="1:10">
      <c r="A8" s="10"/>
      <c r="B8" s="10"/>
      <c r="C8" s="87"/>
      <c r="D8" s="10"/>
      <c r="G8" s="14"/>
    </row>
    <row r="9" spans="1:10">
      <c r="A9" s="10"/>
      <c r="B9" s="10"/>
      <c r="C9" s="10"/>
      <c r="D9" s="10"/>
      <c r="G9" s="14"/>
    </row>
    <row r="10" spans="1:10">
      <c r="A10" s="10"/>
      <c r="B10" s="10"/>
      <c r="C10" s="10"/>
      <c r="D10" s="10"/>
      <c r="G10" s="14"/>
    </row>
    <row r="11" spans="1:10">
      <c r="A11" s="10"/>
      <c r="B11" s="88"/>
      <c r="C11" s="89"/>
      <c r="D11" s="89"/>
      <c r="E11" s="90"/>
      <c r="F11" s="90"/>
      <c r="G11" s="91"/>
      <c r="H11" s="90"/>
      <c r="I11" s="90"/>
      <c r="J11" s="92"/>
    </row>
    <row r="12" spans="1:10">
      <c r="A12" s="10"/>
      <c r="B12" s="93"/>
      <c r="C12" s="26" t="s">
        <v>60</v>
      </c>
      <c r="D12" s="94" t="s">
        <v>61</v>
      </c>
      <c r="G12" s="14"/>
      <c r="J12" s="95"/>
    </row>
    <row r="13" spans="1:10">
      <c r="A13" s="10"/>
      <c r="B13" s="93"/>
      <c r="C13" s="26" t="s">
        <v>62</v>
      </c>
      <c r="D13" s="94" t="s">
        <v>63</v>
      </c>
      <c r="G13" s="14"/>
      <c r="J13" s="95"/>
    </row>
    <row r="14" spans="1:10">
      <c r="B14" s="96"/>
      <c r="C14" s="97"/>
      <c r="D14" s="98"/>
      <c r="G14" s="14"/>
      <c r="J14" s="95"/>
    </row>
    <row r="15" spans="1:10">
      <c r="A15" s="10"/>
      <c r="B15" s="93"/>
      <c r="C15" s="26" t="s">
        <v>66</v>
      </c>
      <c r="D15" s="99">
        <v>43952</v>
      </c>
      <c r="E15" s="9"/>
      <c r="F15" s="26" t="s">
        <v>68</v>
      </c>
      <c r="G15" s="14">
        <v>17000000</v>
      </c>
      <c r="J15" s="95"/>
    </row>
    <row r="16" spans="1:10">
      <c r="A16" s="10"/>
      <c r="B16" s="93"/>
      <c r="C16" s="26" t="s">
        <v>69</v>
      </c>
      <c r="D16" s="63" t="s">
        <v>70</v>
      </c>
      <c r="F16" s="26" t="s">
        <v>72</v>
      </c>
      <c r="G16" s="14">
        <v>250000</v>
      </c>
      <c r="J16" s="95"/>
    </row>
    <row r="17" spans="1:10">
      <c r="A17" s="10"/>
      <c r="B17" s="93"/>
      <c r="C17" s="26" t="s">
        <v>73</v>
      </c>
      <c r="D17" s="65" t="s">
        <v>142</v>
      </c>
      <c r="F17" s="26" t="s">
        <v>74</v>
      </c>
      <c r="G17" s="14">
        <v>750000</v>
      </c>
      <c r="J17" s="95"/>
    </row>
    <row r="18" spans="1:10">
      <c r="A18" s="10"/>
      <c r="B18" s="93"/>
      <c r="C18" s="26" t="s">
        <v>75</v>
      </c>
      <c r="D18" s="100" t="s">
        <v>163</v>
      </c>
      <c r="F18" s="26" t="s">
        <v>76</v>
      </c>
      <c r="G18" s="14">
        <v>275000</v>
      </c>
      <c r="J18" s="95"/>
    </row>
    <row r="19" spans="1:10">
      <c r="A19" s="10"/>
      <c r="B19" s="93"/>
      <c r="C19" s="26" t="s">
        <v>77</v>
      </c>
      <c r="D19" s="65" t="s">
        <v>78</v>
      </c>
      <c r="F19" s="26" t="s">
        <v>79</v>
      </c>
      <c r="G19" s="14">
        <v>80000000</v>
      </c>
      <c r="J19" s="95"/>
    </row>
    <row r="20" spans="1:10">
      <c r="A20" s="10"/>
      <c r="B20" s="93"/>
      <c r="C20" s="26" t="s">
        <v>80</v>
      </c>
      <c r="D20" s="65" t="s">
        <v>78</v>
      </c>
      <c r="G20" s="14"/>
      <c r="J20" s="95"/>
    </row>
    <row r="21" spans="1:10">
      <c r="A21" s="10"/>
      <c r="B21" s="93"/>
      <c r="C21" s="101" t="s">
        <v>164</v>
      </c>
      <c r="D21" s="102">
        <v>4276349</v>
      </c>
      <c r="F21" s="103" t="s">
        <v>165</v>
      </c>
      <c r="G21" s="104"/>
      <c r="H21" s="105"/>
      <c r="I21" s="105"/>
      <c r="J21" s="95"/>
    </row>
    <row r="22" spans="1:10">
      <c r="A22" s="10"/>
      <c r="B22" s="93"/>
      <c r="C22" s="101" t="s">
        <v>166</v>
      </c>
      <c r="D22" s="106">
        <v>8939700</v>
      </c>
      <c r="G22" s="14"/>
      <c r="J22" s="95"/>
    </row>
    <row r="23" spans="1:10">
      <c r="B23" s="107"/>
      <c r="C23" s="108"/>
      <c r="D23" s="108"/>
      <c r="E23" s="108"/>
      <c r="F23" s="108"/>
      <c r="G23" s="108"/>
      <c r="H23" s="108"/>
      <c r="I23" s="108"/>
      <c r="J23" s="109"/>
    </row>
    <row r="25" spans="1:10" ht="26.25">
      <c r="A25" s="84"/>
      <c r="B25" s="84"/>
    </row>
    <row r="26" spans="1:10">
      <c r="A26" s="86"/>
      <c r="B26" s="86"/>
    </row>
    <row r="27" spans="1:10">
      <c r="A27" s="86"/>
      <c r="B27" s="86"/>
    </row>
    <row r="28" spans="1:10">
      <c r="A28" s="86"/>
      <c r="B28" s="86"/>
    </row>
    <row r="29" spans="1:10">
      <c r="A29" s="86"/>
      <c r="B29" s="86"/>
    </row>
    <row r="30" spans="1:10">
      <c r="A30" s="86"/>
      <c r="B30" s="86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01"/>
  <sheetViews>
    <sheetView tabSelected="1" workbookViewId="0">
      <selection activeCell="C3" sqref="C3"/>
    </sheetView>
  </sheetViews>
  <sheetFormatPr defaultColWidth="14.42578125" defaultRowHeight="15" customHeight="1"/>
  <cols>
    <col min="1" max="1" width="26.85546875" customWidth="1"/>
    <col min="2" max="2" width="19.140625" customWidth="1"/>
    <col min="3" max="3" width="54.85546875" customWidth="1"/>
    <col min="4" max="4" width="21.85546875" customWidth="1"/>
    <col min="5" max="5" width="12.28515625" customWidth="1"/>
    <col min="6" max="6" width="8.7109375" customWidth="1"/>
    <col min="7" max="8" width="15.28515625" customWidth="1"/>
    <col min="9" max="9" width="17" customWidth="1"/>
  </cols>
  <sheetData>
    <row r="1" spans="1:5">
      <c r="A1" s="110" t="s">
        <v>179</v>
      </c>
      <c r="B1" s="111"/>
      <c r="C1" s="111"/>
      <c r="D1" s="111"/>
    </row>
    <row r="2" spans="1:5">
      <c r="A2" s="112" t="s">
        <v>60</v>
      </c>
      <c r="B2" s="112" t="s">
        <v>61</v>
      </c>
      <c r="C2" s="111"/>
      <c r="D2" s="111"/>
    </row>
    <row r="3" spans="1:5">
      <c r="A3" s="112" t="s">
        <v>62</v>
      </c>
      <c r="B3" s="113" t="s">
        <v>63</v>
      </c>
      <c r="C3" s="111"/>
      <c r="D3" s="111"/>
    </row>
    <row r="4" spans="1:5">
      <c r="A4" s="112" t="s">
        <v>64</v>
      </c>
      <c r="B4" s="113" t="s">
        <v>65</v>
      </c>
      <c r="C4" s="111"/>
      <c r="D4" s="111"/>
    </row>
    <row r="5" spans="1:5">
      <c r="A5" s="112" t="s">
        <v>66</v>
      </c>
      <c r="B5" s="114">
        <v>43952</v>
      </c>
      <c r="C5" s="115" t="s">
        <v>67</v>
      </c>
      <c r="D5" s="112" t="s">
        <v>68</v>
      </c>
      <c r="E5" s="21">
        <v>17000000</v>
      </c>
    </row>
    <row r="6" spans="1:5">
      <c r="A6" s="112" t="s">
        <v>69</v>
      </c>
      <c r="B6" s="116" t="s">
        <v>70</v>
      </c>
      <c r="C6" s="117" t="s">
        <v>71</v>
      </c>
      <c r="D6" s="112" t="s">
        <v>72</v>
      </c>
      <c r="E6" s="21">
        <v>250000</v>
      </c>
    </row>
    <row r="7" spans="1:5">
      <c r="A7" s="112" t="s">
        <v>73</v>
      </c>
      <c r="B7" s="118" t="s">
        <v>142</v>
      </c>
      <c r="C7" s="111"/>
      <c r="D7" s="112" t="s">
        <v>74</v>
      </c>
      <c r="E7" s="21">
        <v>750000</v>
      </c>
    </row>
    <row r="8" spans="1:5">
      <c r="A8" s="112" t="s">
        <v>75</v>
      </c>
      <c r="B8" s="119">
        <v>2.3999999999999998E-3</v>
      </c>
      <c r="C8" s="111"/>
      <c r="D8" s="112" t="s">
        <v>76</v>
      </c>
      <c r="E8" s="21">
        <v>275000</v>
      </c>
    </row>
    <row r="9" spans="1:5">
      <c r="A9" s="112" t="s">
        <v>77</v>
      </c>
      <c r="B9" s="118" t="s">
        <v>78</v>
      </c>
      <c r="C9" s="111"/>
      <c r="D9" s="112" t="s">
        <v>79</v>
      </c>
      <c r="E9" s="21">
        <v>80000000</v>
      </c>
    </row>
    <row r="10" spans="1:5">
      <c r="A10" s="112" t="s">
        <v>80</v>
      </c>
      <c r="B10" s="118" t="s">
        <v>78</v>
      </c>
      <c r="C10" s="111"/>
      <c r="D10" s="111"/>
    </row>
    <row r="11" spans="1:5">
      <c r="A11" s="120" t="s">
        <v>164</v>
      </c>
      <c r="B11" s="121">
        <v>4276349</v>
      </c>
      <c r="C11" s="111"/>
      <c r="D11" s="115" t="s">
        <v>165</v>
      </c>
    </row>
    <row r="12" spans="1:5">
      <c r="A12" s="120" t="s">
        <v>166</v>
      </c>
      <c r="B12" s="122">
        <v>8939700</v>
      </c>
      <c r="C12" s="111"/>
      <c r="D12" s="111"/>
    </row>
    <row r="13" spans="1:5">
      <c r="A13" s="111"/>
      <c r="B13" s="123"/>
      <c r="C13" s="111"/>
      <c r="D13" s="111"/>
    </row>
    <row r="14" spans="1:5" ht="15.75">
      <c r="A14" s="124" t="s">
        <v>167</v>
      </c>
      <c r="B14" s="125" t="s">
        <v>168</v>
      </c>
      <c r="C14" s="126" t="s">
        <v>169</v>
      </c>
      <c r="D14" s="111"/>
    </row>
    <row r="15" spans="1:5">
      <c r="A15" s="127" t="s">
        <v>84</v>
      </c>
      <c r="B15" s="128">
        <f t="shared" ref="B15:B16" si="0">E5</f>
        <v>17000000</v>
      </c>
      <c r="C15" s="129"/>
      <c r="D15" s="111"/>
    </row>
    <row r="16" spans="1:5">
      <c r="A16" s="130" t="s">
        <v>85</v>
      </c>
      <c r="B16" s="131">
        <f t="shared" si="0"/>
        <v>250000</v>
      </c>
      <c r="C16" s="129"/>
      <c r="D16" s="111"/>
    </row>
    <row r="17" spans="1:9">
      <c r="A17" s="132" t="s">
        <v>86</v>
      </c>
      <c r="B17" s="133">
        <f>-E8</f>
        <v>-275000</v>
      </c>
      <c r="C17" s="129"/>
      <c r="D17" s="111"/>
    </row>
    <row r="18" spans="1:9">
      <c r="A18" s="130" t="s">
        <v>87</v>
      </c>
      <c r="B18" s="131">
        <v>0</v>
      </c>
      <c r="C18" s="129"/>
      <c r="D18" s="111"/>
    </row>
    <row r="19" spans="1:9">
      <c r="A19" s="130" t="s">
        <v>88</v>
      </c>
      <c r="B19" s="131">
        <f>4%*12000000</f>
        <v>480000</v>
      </c>
      <c r="C19" s="134" t="s">
        <v>170</v>
      </c>
      <c r="D19" s="111"/>
    </row>
    <row r="20" spans="1:9">
      <c r="A20" s="130" t="s">
        <v>90</v>
      </c>
      <c r="B20" s="131">
        <f>0.3%*B15</f>
        <v>51000</v>
      </c>
      <c r="C20" s="134" t="s">
        <v>91</v>
      </c>
      <c r="D20" s="111"/>
    </row>
    <row r="21" spans="1:9" ht="15.75" customHeight="1">
      <c r="A21" s="135" t="s">
        <v>75</v>
      </c>
      <c r="B21" s="136">
        <f>B8*B15</f>
        <v>40800</v>
      </c>
      <c r="C21" s="134" t="s">
        <v>92</v>
      </c>
      <c r="D21" s="111"/>
    </row>
    <row r="22" spans="1:9" ht="15.75" customHeight="1">
      <c r="A22" s="137" t="s">
        <v>93</v>
      </c>
      <c r="B22" s="138">
        <f>SUM(B15:B21)</f>
        <v>17546800</v>
      </c>
      <c r="C22" s="134" t="s">
        <v>94</v>
      </c>
      <c r="D22" s="111"/>
    </row>
    <row r="23" spans="1:9" ht="15.75" customHeight="1">
      <c r="A23" s="137" t="s">
        <v>95</v>
      </c>
      <c r="B23" s="138">
        <f>B22*8</f>
        <v>140374400</v>
      </c>
      <c r="C23" s="134" t="s">
        <v>96</v>
      </c>
      <c r="D23" s="111"/>
    </row>
    <row r="24" spans="1:9" ht="15.75" customHeight="1">
      <c r="A24" s="139" t="s">
        <v>97</v>
      </c>
      <c r="B24" s="140">
        <f>500000*8</f>
        <v>4000000</v>
      </c>
      <c r="C24" s="134" t="s">
        <v>154</v>
      </c>
      <c r="D24" s="111"/>
      <c r="E24" s="21"/>
      <c r="G24" s="141">
        <f>5%*B23</f>
        <v>7018720</v>
      </c>
      <c r="H24" s="75">
        <f>500000*8</f>
        <v>4000000</v>
      </c>
      <c r="I24" s="11" t="s">
        <v>171</v>
      </c>
    </row>
    <row r="25" spans="1:9" ht="15.75" customHeight="1">
      <c r="A25" s="132" t="s">
        <v>99</v>
      </c>
      <c r="B25" s="133">
        <f>2%*B15*8</f>
        <v>2720000</v>
      </c>
      <c r="C25" s="134" t="s">
        <v>100</v>
      </c>
      <c r="D25" s="111"/>
    </row>
    <row r="26" spans="1:9" ht="15.75" customHeight="1">
      <c r="A26" s="142" t="s">
        <v>101</v>
      </c>
      <c r="B26" s="143">
        <f>1%*8*B12</f>
        <v>715176</v>
      </c>
      <c r="C26" s="144" t="s">
        <v>172</v>
      </c>
      <c r="D26" s="111"/>
    </row>
    <row r="27" spans="1:9" ht="15.75" customHeight="1">
      <c r="A27" s="137" t="s">
        <v>103</v>
      </c>
      <c r="B27" s="138">
        <f>B23-B24-B25-B26</f>
        <v>132939224</v>
      </c>
      <c r="C27" s="134" t="s">
        <v>104</v>
      </c>
      <c r="D27" s="111"/>
    </row>
    <row r="28" spans="1:9" ht="15.75" customHeight="1">
      <c r="A28" s="145" t="s">
        <v>105</v>
      </c>
      <c r="B28" s="146">
        <v>54000000</v>
      </c>
      <c r="C28" s="134" t="s">
        <v>106</v>
      </c>
      <c r="D28" s="111"/>
    </row>
    <row r="29" spans="1:9" ht="15.75" customHeight="1">
      <c r="A29" s="145" t="s">
        <v>42</v>
      </c>
      <c r="B29" s="136">
        <f>ROUNDDOWN(B27-B28,-3)</f>
        <v>78939000</v>
      </c>
      <c r="C29" s="134" t="s">
        <v>173</v>
      </c>
      <c r="D29" s="111"/>
      <c r="G29" s="141">
        <f>B27-B28</f>
        <v>78939224</v>
      </c>
    </row>
    <row r="30" spans="1:9" ht="15.75" customHeight="1">
      <c r="A30" s="147" t="s">
        <v>52</v>
      </c>
      <c r="B30" s="138">
        <f>2500000+(B29-50000000)*15%</f>
        <v>6840850</v>
      </c>
      <c r="C30" s="134" t="s">
        <v>108</v>
      </c>
      <c r="D30" s="111"/>
    </row>
    <row r="31" spans="1:9" ht="15.75" customHeight="1">
      <c r="A31" s="148" t="s">
        <v>109</v>
      </c>
      <c r="B31" s="149">
        <f>B30/8</f>
        <v>855106.25</v>
      </c>
      <c r="C31" s="134" t="s">
        <v>110</v>
      </c>
      <c r="D31" s="111"/>
    </row>
    <row r="32" spans="1:9" ht="15.75" customHeight="1">
      <c r="A32" s="112"/>
      <c r="B32" s="150"/>
      <c r="C32" s="111"/>
      <c r="D32" s="111"/>
    </row>
    <row r="33" spans="1:9" ht="15.75" customHeight="1">
      <c r="A33" s="151" t="s">
        <v>111</v>
      </c>
      <c r="B33" s="152">
        <f>E9</f>
        <v>80000000</v>
      </c>
      <c r="C33" s="111"/>
      <c r="D33" s="111"/>
    </row>
    <row r="34" spans="1:9" ht="15.75" customHeight="1">
      <c r="A34" s="112"/>
      <c r="B34" s="150"/>
      <c r="C34" s="111"/>
      <c r="D34" s="111"/>
    </row>
    <row r="35" spans="1:9" ht="15.75" customHeight="1">
      <c r="A35" s="153" t="s">
        <v>167</v>
      </c>
      <c r="B35" s="125" t="s">
        <v>168</v>
      </c>
      <c r="C35" s="126" t="s">
        <v>169</v>
      </c>
      <c r="D35" s="111"/>
    </row>
    <row r="36" spans="1:9" ht="15.75" customHeight="1">
      <c r="A36" s="134" t="s">
        <v>112</v>
      </c>
      <c r="B36" s="138">
        <f>B33+B23</f>
        <v>220374400</v>
      </c>
      <c r="C36" s="138" t="s">
        <v>113</v>
      </c>
      <c r="D36" s="111"/>
    </row>
    <row r="37" spans="1:9" ht="15.75" customHeight="1">
      <c r="A37" s="154" t="s">
        <v>114</v>
      </c>
      <c r="B37" s="140">
        <f t="shared" ref="B37:B39" si="1">B24</f>
        <v>4000000</v>
      </c>
      <c r="C37" s="134" t="s">
        <v>157</v>
      </c>
      <c r="D37" s="111"/>
      <c r="G37" s="20">
        <f>5%*B36</f>
        <v>11018720</v>
      </c>
      <c r="H37" s="75">
        <f>500000*8</f>
        <v>4000000</v>
      </c>
      <c r="I37" s="155" t="s">
        <v>171</v>
      </c>
    </row>
    <row r="38" spans="1:9" ht="15.75" customHeight="1">
      <c r="A38" s="156" t="s">
        <v>99</v>
      </c>
      <c r="B38" s="133">
        <f t="shared" si="1"/>
        <v>2720000</v>
      </c>
      <c r="C38" s="134" t="s">
        <v>100</v>
      </c>
      <c r="D38" s="111"/>
    </row>
    <row r="39" spans="1:9" ht="15.75" customHeight="1">
      <c r="A39" s="157" t="s">
        <v>101</v>
      </c>
      <c r="B39" s="143">
        <f t="shared" si="1"/>
        <v>715176</v>
      </c>
      <c r="C39" s="144" t="s">
        <v>172</v>
      </c>
      <c r="D39" s="111"/>
    </row>
    <row r="40" spans="1:9" ht="15.75" customHeight="1">
      <c r="A40" s="134" t="s">
        <v>117</v>
      </c>
      <c r="B40" s="138">
        <f>B36-B37-B38-B39</f>
        <v>212939224</v>
      </c>
      <c r="C40" s="138" t="s">
        <v>118</v>
      </c>
      <c r="D40" s="111"/>
      <c r="G40" s="62"/>
    </row>
    <row r="41" spans="1:9" ht="15.75" customHeight="1">
      <c r="A41" s="154" t="s">
        <v>105</v>
      </c>
      <c r="B41" s="158">
        <v>54000000</v>
      </c>
      <c r="C41" s="138" t="s">
        <v>119</v>
      </c>
      <c r="D41" s="111"/>
    </row>
    <row r="42" spans="1:9" ht="15.75" customHeight="1">
      <c r="A42" s="159" t="s">
        <v>42</v>
      </c>
      <c r="B42" s="160">
        <f>ROUNDDOWN(B40-B41,-3)</f>
        <v>158939000</v>
      </c>
      <c r="C42" s="138" t="s">
        <v>174</v>
      </c>
      <c r="D42" s="111"/>
    </row>
    <row r="43" spans="1:9" ht="15.75" customHeight="1">
      <c r="A43" s="161" t="s">
        <v>121</v>
      </c>
      <c r="B43" s="162">
        <f>2500000+(B42-50000000)*15%</f>
        <v>18840850</v>
      </c>
      <c r="C43" s="138" t="s">
        <v>108</v>
      </c>
      <c r="D43" s="111"/>
    </row>
    <row r="44" spans="1:9" ht="15.75" customHeight="1">
      <c r="A44" s="163" t="s">
        <v>122</v>
      </c>
      <c r="B44" s="149">
        <f>B43-B30</f>
        <v>12000000</v>
      </c>
      <c r="C44" s="138" t="s">
        <v>123</v>
      </c>
      <c r="D44" s="111"/>
      <c r="G44" s="14"/>
    </row>
    <row r="45" spans="1:9" ht="15.75" customHeight="1">
      <c r="A45" s="151"/>
      <c r="B45" s="152"/>
      <c r="C45" s="150"/>
      <c r="D45" s="111"/>
      <c r="G45" s="14"/>
    </row>
    <row r="46" spans="1:9" ht="15.75" customHeight="1">
      <c r="A46" s="164" t="s">
        <v>124</v>
      </c>
      <c r="B46" s="165">
        <f>B31+B44</f>
        <v>12855106.25</v>
      </c>
      <c r="C46" s="152" t="s">
        <v>125</v>
      </c>
      <c r="D46" s="110"/>
    </row>
    <row r="47" spans="1:9" ht="15.75" customHeight="1">
      <c r="A47" s="111"/>
      <c r="B47" s="111"/>
      <c r="C47" s="111"/>
      <c r="D47" s="111"/>
    </row>
    <row r="48" spans="1:9" ht="15.75" customHeight="1">
      <c r="A48" s="111"/>
      <c r="B48" s="111"/>
      <c r="C48" s="111"/>
      <c r="D48" s="111"/>
    </row>
    <row r="49" spans="1:4" ht="15.75" customHeight="1">
      <c r="A49" s="111"/>
      <c r="B49" s="111"/>
      <c r="C49" s="111"/>
      <c r="D49" s="111"/>
    </row>
    <row r="50" spans="1:4" ht="15.75" customHeight="1">
      <c r="A50" s="179" t="s">
        <v>126</v>
      </c>
      <c r="B50" s="178"/>
      <c r="C50" s="178"/>
      <c r="D50" s="111"/>
    </row>
    <row r="51" spans="1:4" ht="15.75" customHeight="1">
      <c r="A51" s="166" t="s">
        <v>167</v>
      </c>
      <c r="B51" s="167" t="s">
        <v>175</v>
      </c>
      <c r="C51" s="168" t="s">
        <v>169</v>
      </c>
      <c r="D51" s="111"/>
    </row>
    <row r="52" spans="1:4" ht="15.75" customHeight="1">
      <c r="A52" s="169" t="s">
        <v>84</v>
      </c>
      <c r="B52" s="170">
        <f>E5</f>
        <v>17000000</v>
      </c>
      <c r="C52" s="129"/>
      <c r="D52" s="111"/>
    </row>
    <row r="53" spans="1:4" ht="15.75" customHeight="1">
      <c r="A53" s="169" t="s">
        <v>127</v>
      </c>
      <c r="B53" s="170">
        <f>E9</f>
        <v>80000000</v>
      </c>
      <c r="C53" s="129"/>
      <c r="D53" s="111"/>
    </row>
    <row r="54" spans="1:4" ht="15.75" customHeight="1">
      <c r="A54" s="169" t="s">
        <v>128</v>
      </c>
      <c r="B54" s="170">
        <f t="shared" ref="B54:B55" si="2">E6</f>
        <v>250000</v>
      </c>
      <c r="C54" s="129"/>
      <c r="D54" s="111"/>
    </row>
    <row r="55" spans="1:4" ht="15.75" customHeight="1">
      <c r="A55" s="169" t="s">
        <v>129</v>
      </c>
      <c r="B55" s="170">
        <f t="shared" si="2"/>
        <v>750000</v>
      </c>
      <c r="C55" s="129"/>
      <c r="D55" s="111"/>
    </row>
    <row r="56" spans="1:4" ht="15.75" customHeight="1">
      <c r="A56" s="171" t="s">
        <v>130</v>
      </c>
      <c r="B56" s="172">
        <f>-E8</f>
        <v>-275000</v>
      </c>
      <c r="C56" s="129"/>
      <c r="D56" s="111"/>
    </row>
    <row r="57" spans="1:4" ht="15.75" customHeight="1">
      <c r="A57" s="171" t="s">
        <v>131</v>
      </c>
      <c r="B57" s="170"/>
      <c r="C57" s="129"/>
      <c r="D57" s="111"/>
    </row>
    <row r="58" spans="1:4" ht="15.75" customHeight="1">
      <c r="A58" s="171" t="s">
        <v>132</v>
      </c>
      <c r="B58" s="172">
        <f>-B46</f>
        <v>-12855106.25</v>
      </c>
      <c r="C58" s="129"/>
      <c r="D58" s="111"/>
    </row>
    <row r="59" spans="1:4" ht="15.75" customHeight="1">
      <c r="A59" s="171" t="s">
        <v>133</v>
      </c>
      <c r="B59" s="172">
        <f>-2%*B52</f>
        <v>-340000</v>
      </c>
      <c r="C59" s="134" t="s">
        <v>134</v>
      </c>
      <c r="D59" s="111"/>
    </row>
    <row r="60" spans="1:4" ht="15.75" customHeight="1">
      <c r="A60" s="171" t="s">
        <v>135</v>
      </c>
      <c r="B60" s="172">
        <f>-1%*B12</f>
        <v>-89397</v>
      </c>
      <c r="C60" s="173" t="s">
        <v>176</v>
      </c>
      <c r="D60" s="111"/>
    </row>
    <row r="61" spans="1:4" ht="15.75" customHeight="1">
      <c r="A61" s="171" t="s">
        <v>137</v>
      </c>
      <c r="B61" s="172">
        <f>-1%*12000000</f>
        <v>-120000</v>
      </c>
      <c r="C61" s="134" t="s">
        <v>177</v>
      </c>
      <c r="D61" s="111"/>
    </row>
    <row r="62" spans="1:4" ht="15.75" customHeight="1">
      <c r="A62" s="174" t="s">
        <v>126</v>
      </c>
      <c r="B62" s="175">
        <f>SUM(B52:B61)</f>
        <v>84320496.75</v>
      </c>
      <c r="C62" s="176" t="s">
        <v>178</v>
      </c>
      <c r="D62" s="111"/>
    </row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50:C5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Tarif PTKP </vt:lpstr>
      <vt:lpstr>Tarif Progresif</vt:lpstr>
      <vt:lpstr>Latihan 1</vt:lpstr>
      <vt:lpstr>Latihan 2</vt:lpstr>
      <vt:lpstr>Gross Up</vt:lpstr>
      <vt:lpstr>PostTest</vt:lpstr>
      <vt:lpstr>Cara Hitung Gaji Dan PPH21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MEKARI</cp:lastModifiedBy>
  <dcterms:modified xsi:type="dcterms:W3CDTF">2021-06-03T04:43:59Z</dcterms:modified>
</cp:coreProperties>
</file>